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Iris Newman\Mijn Drive\Webshop\"/>
    </mc:Choice>
  </mc:AlternateContent>
  <xr:revisionPtr revIDLastSave="0" documentId="13_ncr:1_{DA079454-D6E9-4403-B4F9-F487359AA4A4}" xr6:coauthVersionLast="47" xr6:coauthVersionMax="47" xr10:uidLastSave="{00000000-0000-0000-0000-000000000000}"/>
  <bookViews>
    <workbookView xWindow="-120" yWindow="-120" windowWidth="29040" windowHeight="15840" xr2:uid="{8F8FEBB8-E33B-468F-A910-95FFBB3DDC6F}"/>
  </bookViews>
  <sheets>
    <sheet name="Uitleg" sheetId="3" r:id="rId1"/>
    <sheet name="Jouw wensen" sheetId="1" r:id="rId2"/>
    <sheet name="Vergoedingenoverzicht" sheetId="2" r:id="rId3"/>
  </sheets>
  <definedNames>
    <definedName name="_xlnm._FilterDatabase" localSheetId="2" hidden="1">Vergoedingenoverzicht!$A$2:$AG$91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8" i="2" l="1"/>
  <c r="Z38" i="2" s="1"/>
  <c r="R37" i="2"/>
  <c r="Z37" i="2" s="1"/>
  <c r="R20" i="2"/>
  <c r="Z20" i="2" s="1"/>
  <c r="R19" i="2"/>
  <c r="Z19" i="2" s="1"/>
  <c r="M38" i="2"/>
  <c r="K38" i="2"/>
  <c r="M37" i="2"/>
  <c r="K37" i="2"/>
  <c r="M20" i="2"/>
  <c r="K20" i="2"/>
  <c r="M19" i="2"/>
  <c r="K19" i="2"/>
  <c r="R75" i="2"/>
  <c r="Z75" i="2" s="1"/>
  <c r="R77" i="2"/>
  <c r="Z77" i="2" s="1"/>
  <c r="M77" i="2"/>
  <c r="K77" i="2"/>
  <c r="M75" i="2"/>
  <c r="K75" i="2"/>
  <c r="R85" i="2"/>
  <c r="R68" i="2"/>
  <c r="Z68" i="2" s="1"/>
  <c r="R83" i="2"/>
  <c r="R84" i="2"/>
  <c r="R57" i="2"/>
  <c r="Z57" i="2" s="1"/>
  <c r="R82" i="2"/>
  <c r="M57" i="2"/>
  <c r="M84" i="2"/>
  <c r="M83" i="2"/>
  <c r="M68" i="2"/>
  <c r="M85" i="2"/>
  <c r="K85" i="2"/>
  <c r="G85" i="2"/>
  <c r="F85" i="2"/>
  <c r="K68" i="2"/>
  <c r="G68" i="2"/>
  <c r="K83" i="2"/>
  <c r="G83" i="2"/>
  <c r="F83" i="2"/>
  <c r="M82" i="2"/>
  <c r="F84" i="2"/>
  <c r="F82" i="2"/>
  <c r="K84" i="2"/>
  <c r="K57" i="2"/>
  <c r="K82" i="2"/>
  <c r="G84" i="2"/>
  <c r="G57" i="2"/>
  <c r="G82" i="2"/>
  <c r="R79" i="2"/>
  <c r="Z79" i="2" s="1"/>
  <c r="R90" i="2"/>
  <c r="Z90" i="2" s="1"/>
  <c r="R87" i="2"/>
  <c r="Z87" i="2" s="1"/>
  <c r="M79" i="2"/>
  <c r="M90" i="2"/>
  <c r="M87" i="2"/>
  <c r="K79" i="2"/>
  <c r="K90" i="2"/>
  <c r="K87" i="2"/>
  <c r="G79" i="2"/>
  <c r="R88" i="2"/>
  <c r="Z88" i="2" s="1"/>
  <c r="R91" i="2"/>
  <c r="Z91" i="2" s="1"/>
  <c r="R81" i="2"/>
  <c r="Z81" i="2" s="1"/>
  <c r="R74" i="2"/>
  <c r="Z74" i="2" s="1"/>
  <c r="M74" i="2"/>
  <c r="M81" i="2"/>
  <c r="M91" i="2"/>
  <c r="M88" i="2"/>
  <c r="K74" i="2"/>
  <c r="K81" i="2"/>
  <c r="K91" i="2"/>
  <c r="K88" i="2"/>
  <c r="G81" i="2"/>
  <c r="R22" i="2"/>
  <c r="Z22" i="2" s="1"/>
  <c r="R21" i="2"/>
  <c r="R10" i="2"/>
  <c r="Z10" i="2" s="1"/>
  <c r="R9" i="2"/>
  <c r="R5" i="2"/>
  <c r="Z5" i="2" s="1"/>
  <c r="R4" i="2"/>
  <c r="M9" i="2"/>
  <c r="M10" i="2"/>
  <c r="M21" i="2"/>
  <c r="M22" i="2"/>
  <c r="M5" i="2"/>
  <c r="M4" i="2"/>
  <c r="K22" i="2"/>
  <c r="K21" i="2"/>
  <c r="F21" i="2"/>
  <c r="K10" i="2"/>
  <c r="K9" i="2"/>
  <c r="F9" i="2"/>
  <c r="F4" i="2"/>
  <c r="K5" i="2"/>
  <c r="K4" i="2"/>
  <c r="R41" i="2"/>
  <c r="Z41" i="2" s="1"/>
  <c r="R49" i="2"/>
  <c r="Z49" i="2" s="1"/>
  <c r="R63" i="2"/>
  <c r="Z63" i="2" s="1"/>
  <c r="M63" i="2"/>
  <c r="M49" i="2"/>
  <c r="M41" i="2"/>
  <c r="K63" i="2"/>
  <c r="K49" i="2"/>
  <c r="K41" i="2"/>
  <c r="R27" i="2"/>
  <c r="Z27" i="2" s="1"/>
  <c r="M27" i="2"/>
  <c r="K27" i="2"/>
  <c r="R71" i="2"/>
  <c r="R60" i="2"/>
  <c r="R73" i="2"/>
  <c r="M71" i="2"/>
  <c r="M60" i="2"/>
  <c r="M73" i="2"/>
  <c r="K71" i="2"/>
  <c r="K60" i="2"/>
  <c r="K73" i="2"/>
  <c r="G71" i="2"/>
  <c r="G60" i="2"/>
  <c r="G73" i="2"/>
  <c r="F71" i="2"/>
  <c r="F60" i="2"/>
  <c r="F73" i="2"/>
  <c r="R78" i="2"/>
  <c r="Z78" i="2" s="1"/>
  <c r="R89" i="2"/>
  <c r="Z89" i="2" s="1"/>
  <c r="R86" i="2"/>
  <c r="Z86" i="2" s="1"/>
  <c r="M78" i="2"/>
  <c r="M89" i="2"/>
  <c r="M86" i="2"/>
  <c r="K78" i="2"/>
  <c r="K89" i="2"/>
  <c r="K86" i="2"/>
  <c r="G78" i="2"/>
  <c r="M40" i="2"/>
  <c r="M26" i="2"/>
  <c r="M16" i="2"/>
  <c r="M34" i="2"/>
  <c r="M17" i="2"/>
  <c r="K40" i="2"/>
  <c r="K26" i="2"/>
  <c r="K16" i="2"/>
  <c r="K34" i="2"/>
  <c r="F34" i="2"/>
  <c r="F17" i="2"/>
  <c r="F11" i="2"/>
  <c r="K11" i="2"/>
  <c r="M11" i="2"/>
  <c r="M43" i="2"/>
  <c r="M46" i="2"/>
  <c r="M35" i="2"/>
  <c r="M51" i="2"/>
  <c r="M54" i="2"/>
  <c r="M45" i="2"/>
  <c r="M58" i="2"/>
  <c r="M66" i="2"/>
  <c r="K66" i="2"/>
  <c r="K58" i="2"/>
  <c r="K45" i="2"/>
  <c r="M29" i="2"/>
  <c r="K54" i="2"/>
  <c r="K51" i="2"/>
  <c r="K35" i="2"/>
  <c r="K29" i="2"/>
  <c r="K43" i="2"/>
  <c r="K46" i="2"/>
  <c r="M18" i="2"/>
  <c r="M33" i="2"/>
  <c r="M53" i="2"/>
  <c r="M28" i="2"/>
  <c r="M67" i="2"/>
  <c r="M39" i="2"/>
  <c r="M70" i="2"/>
  <c r="M56" i="2"/>
  <c r="M72" i="2"/>
  <c r="K72" i="2"/>
  <c r="K56" i="2"/>
  <c r="K70" i="2"/>
  <c r="K39" i="2"/>
  <c r="K53" i="2"/>
  <c r="K33" i="2"/>
  <c r="K67" i="2"/>
  <c r="K28" i="2"/>
  <c r="K18" i="2"/>
  <c r="F53" i="2"/>
  <c r="F33" i="2"/>
  <c r="F18" i="2"/>
  <c r="M65" i="2"/>
  <c r="M24" i="2"/>
  <c r="M15" i="2"/>
  <c r="M52" i="2"/>
  <c r="M14" i="2"/>
  <c r="M8" i="2"/>
  <c r="K65" i="2"/>
  <c r="K24" i="2"/>
  <c r="K15" i="2"/>
  <c r="K52" i="2"/>
  <c r="K14" i="2"/>
  <c r="K8" i="2"/>
  <c r="F15" i="2"/>
  <c r="F8" i="2"/>
  <c r="M76" i="2"/>
  <c r="M44" i="2"/>
  <c r="M23" i="2"/>
  <c r="M50" i="2"/>
  <c r="G50" i="2"/>
  <c r="K44" i="2"/>
  <c r="K23" i="2"/>
  <c r="K50" i="2"/>
  <c r="K55" i="2"/>
  <c r="M80" i="2"/>
  <c r="M55" i="2"/>
  <c r="K36" i="2"/>
  <c r="K62" i="2"/>
  <c r="M36" i="2"/>
  <c r="G62" i="2"/>
  <c r="M62" i="2"/>
  <c r="M59" i="2"/>
  <c r="K59" i="2"/>
  <c r="M42" i="2"/>
  <c r="K42" i="2"/>
  <c r="K47" i="2"/>
  <c r="K25" i="2"/>
  <c r="M47" i="2"/>
  <c r="M25" i="2"/>
  <c r="G9" i="1"/>
  <c r="X12" i="2" s="1"/>
  <c r="AF12" i="2" s="1"/>
  <c r="M64" i="2"/>
  <c r="M69" i="2"/>
  <c r="G61" i="2"/>
  <c r="K64" i="2"/>
  <c r="K69" i="2"/>
  <c r="K61" i="2"/>
  <c r="M61" i="2"/>
  <c r="M6" i="2"/>
  <c r="M7" i="2"/>
  <c r="F7" i="2"/>
  <c r="K6" i="2"/>
  <c r="K7" i="2"/>
  <c r="M31" i="2"/>
  <c r="K31" i="2"/>
  <c r="M48" i="2"/>
  <c r="M32" i="2"/>
  <c r="M30" i="2"/>
  <c r="M12" i="2"/>
  <c r="K48" i="2"/>
  <c r="K30" i="2"/>
  <c r="K32" i="2"/>
  <c r="K12" i="2"/>
  <c r="M13" i="2"/>
  <c r="K13" i="2"/>
  <c r="M3" i="2"/>
  <c r="K3" i="2"/>
  <c r="D8" i="1"/>
  <c r="G8" i="1" s="1"/>
  <c r="W21" i="2" s="1"/>
  <c r="G4" i="1"/>
  <c r="S13" i="2" s="1"/>
  <c r="AA13" i="2" s="1"/>
  <c r="G5" i="1"/>
  <c r="T64" i="2" s="1"/>
  <c r="AB64" i="2" s="1"/>
  <c r="G6" i="1"/>
  <c r="U13" i="2" s="1"/>
  <c r="AC13" i="2" s="1"/>
  <c r="G7" i="1"/>
  <c r="V12" i="2" s="1"/>
  <c r="AD12" i="2" s="1"/>
  <c r="D3" i="1"/>
  <c r="U82" i="2" l="1"/>
  <c r="AC82" i="2" s="1"/>
  <c r="X9" i="2"/>
  <c r="AF9" i="2" s="1"/>
  <c r="X74" i="2"/>
  <c r="AF74" i="2" s="1"/>
  <c r="X87" i="2"/>
  <c r="AF87" i="2" s="1"/>
  <c r="X35" i="2"/>
  <c r="AF35" i="2" s="1"/>
  <c r="X84" i="2"/>
  <c r="AF84" i="2" s="1"/>
  <c r="X51" i="2"/>
  <c r="AF51" i="2" s="1"/>
  <c r="X10" i="2"/>
  <c r="AF10" i="2" s="1"/>
  <c r="X81" i="2"/>
  <c r="AF81" i="2" s="1"/>
  <c r="X90" i="2"/>
  <c r="AF90" i="2" s="1"/>
  <c r="X83" i="2"/>
  <c r="AF83" i="2" s="1"/>
  <c r="X34" i="2"/>
  <c r="AF34" i="2" s="1"/>
  <c r="X21" i="2"/>
  <c r="AF21" i="2" s="1"/>
  <c r="X91" i="2"/>
  <c r="AF91" i="2" s="1"/>
  <c r="X79" i="2"/>
  <c r="AF79" i="2" s="1"/>
  <c r="X71" i="2"/>
  <c r="AF71" i="2" s="1"/>
  <c r="X86" i="2"/>
  <c r="AF86" i="2" s="1"/>
  <c r="X68" i="2"/>
  <c r="AF68" i="2" s="1"/>
  <c r="X63" i="2"/>
  <c r="AF63" i="2" s="1"/>
  <c r="X22" i="2"/>
  <c r="AF22" i="2" s="1"/>
  <c r="X88" i="2"/>
  <c r="AF88" i="2" s="1"/>
  <c r="X89" i="2"/>
  <c r="AF89" i="2" s="1"/>
  <c r="X78" i="2"/>
  <c r="AF78" i="2" s="1"/>
  <c r="X60" i="2"/>
  <c r="AF60" i="2" s="1"/>
  <c r="X19" i="2"/>
  <c r="AF19" i="2" s="1"/>
  <c r="X73" i="2"/>
  <c r="AF73" i="2" s="1"/>
  <c r="X85" i="2"/>
  <c r="AF85" i="2" s="1"/>
  <c r="X49" i="2"/>
  <c r="AF49" i="2" s="1"/>
  <c r="X41" i="2"/>
  <c r="AF41" i="2" s="1"/>
  <c r="X4" i="2"/>
  <c r="AF4" i="2" s="1"/>
  <c r="X77" i="2"/>
  <c r="AF77" i="2" s="1"/>
  <c r="X20" i="2"/>
  <c r="AF20" i="2" s="1"/>
  <c r="X58" i="2"/>
  <c r="AF58" i="2" s="1"/>
  <c r="X37" i="2"/>
  <c r="AF37" i="2" s="1"/>
  <c r="X27" i="2"/>
  <c r="AF27" i="2" s="1"/>
  <c r="X5" i="2"/>
  <c r="AF5" i="2" s="1"/>
  <c r="X75" i="2"/>
  <c r="AF75" i="2" s="1"/>
  <c r="X82" i="2"/>
  <c r="AF82" i="2" s="1"/>
  <c r="X57" i="2"/>
  <c r="AF57" i="2" s="1"/>
  <c r="X38" i="2"/>
  <c r="AF38" i="2" s="1"/>
  <c r="W85" i="2"/>
  <c r="W41" i="2"/>
  <c r="W81" i="2"/>
  <c r="AE81" i="2" s="1"/>
  <c r="W87" i="2"/>
  <c r="W82" i="2"/>
  <c r="AE82" i="2" s="1"/>
  <c r="W86" i="2"/>
  <c r="AE86" i="2" s="1"/>
  <c r="W4" i="2"/>
  <c r="AE4" i="2" s="1"/>
  <c r="W27" i="2"/>
  <c r="AE27" i="2" s="1"/>
  <c r="W91" i="2"/>
  <c r="W90" i="2"/>
  <c r="W57" i="2"/>
  <c r="W22" i="2"/>
  <c r="W89" i="2"/>
  <c r="W19" i="2"/>
  <c r="AE19" i="2" s="1"/>
  <c r="W79" i="2"/>
  <c r="AE79" i="2" s="1"/>
  <c r="W84" i="2"/>
  <c r="AE84" i="2" s="1"/>
  <c r="W77" i="2"/>
  <c r="W88" i="2"/>
  <c r="W78" i="2"/>
  <c r="W20" i="2"/>
  <c r="AE20" i="2" s="1"/>
  <c r="W9" i="2"/>
  <c r="AE9" i="2" s="1"/>
  <c r="W73" i="2"/>
  <c r="AE73" i="2" s="1"/>
  <c r="W60" i="2"/>
  <c r="AE60" i="2" s="1"/>
  <c r="W83" i="2"/>
  <c r="AE83" i="2" s="1"/>
  <c r="W75" i="2"/>
  <c r="AE75" i="2" s="1"/>
  <c r="W5" i="2"/>
  <c r="W10" i="2"/>
  <c r="W63" i="2"/>
  <c r="W71" i="2"/>
  <c r="W68" i="2"/>
  <c r="AE68" i="2" s="1"/>
  <c r="W37" i="2"/>
  <c r="W49" i="2"/>
  <c r="W74" i="2"/>
  <c r="AE74" i="2" s="1"/>
  <c r="W38" i="2"/>
  <c r="V21" i="2"/>
  <c r="AD21" i="2" s="1"/>
  <c r="V29" i="2"/>
  <c r="AD29" i="2" s="1"/>
  <c r="V63" i="2"/>
  <c r="AD63" i="2" s="1"/>
  <c r="V81" i="2"/>
  <c r="AD81" i="2" s="1"/>
  <c r="V19" i="2"/>
  <c r="AD19" i="2" s="1"/>
  <c r="V77" i="2"/>
  <c r="AD77" i="2" s="1"/>
  <c r="V89" i="2"/>
  <c r="AD89" i="2" s="1"/>
  <c r="V11" i="2"/>
  <c r="AD11" i="2" s="1"/>
  <c r="V49" i="2"/>
  <c r="AD49" i="2" s="1"/>
  <c r="V91" i="2"/>
  <c r="AD91" i="2" s="1"/>
  <c r="V35" i="2"/>
  <c r="AD35" i="2" s="1"/>
  <c r="V17" i="2"/>
  <c r="AD17" i="2" s="1"/>
  <c r="V82" i="2"/>
  <c r="AD82" i="2" s="1"/>
  <c r="V68" i="2"/>
  <c r="AD68" i="2" s="1"/>
  <c r="V20" i="2"/>
  <c r="AD20" i="2" s="1"/>
  <c r="V87" i="2"/>
  <c r="AD87" i="2" s="1"/>
  <c r="V27" i="2"/>
  <c r="AD27" i="2" s="1"/>
  <c r="V10" i="2"/>
  <c r="AD10" i="2" s="1"/>
  <c r="V90" i="2"/>
  <c r="AD90" i="2" s="1"/>
  <c r="V75" i="2"/>
  <c r="AD75" i="2" s="1"/>
  <c r="V78" i="2"/>
  <c r="AD78" i="2" s="1"/>
  <c r="V73" i="2"/>
  <c r="AD73" i="2" s="1"/>
  <c r="V83" i="2"/>
  <c r="AD83" i="2" s="1"/>
  <c r="V9" i="2"/>
  <c r="AD9" i="2" s="1"/>
  <c r="V41" i="2"/>
  <c r="AD41" i="2" s="1"/>
  <c r="V88" i="2"/>
  <c r="AD88" i="2" s="1"/>
  <c r="V57" i="2"/>
  <c r="AD57" i="2" s="1"/>
  <c r="V85" i="2"/>
  <c r="AD85" i="2" s="1"/>
  <c r="V37" i="2"/>
  <c r="AD37" i="2" s="1"/>
  <c r="V79" i="2"/>
  <c r="AD79" i="2" s="1"/>
  <c r="V60" i="2"/>
  <c r="AD60" i="2" s="1"/>
  <c r="V74" i="2"/>
  <c r="AD74" i="2" s="1"/>
  <c r="V84" i="2"/>
  <c r="AD84" i="2" s="1"/>
  <c r="V38" i="2"/>
  <c r="AD38" i="2" s="1"/>
  <c r="V4" i="2"/>
  <c r="AD4" i="2" s="1"/>
  <c r="V5" i="2"/>
  <c r="AD5" i="2" s="1"/>
  <c r="V22" i="2"/>
  <c r="AD22" i="2" s="1"/>
  <c r="V46" i="2"/>
  <c r="AD46" i="2" s="1"/>
  <c r="V86" i="2"/>
  <c r="AD86" i="2" s="1"/>
  <c r="V71" i="2"/>
  <c r="AD71" i="2" s="1"/>
  <c r="U81" i="2"/>
  <c r="AC81" i="2" s="1"/>
  <c r="U58" i="2"/>
  <c r="AC58" i="2" s="1"/>
  <c r="U89" i="2"/>
  <c r="AC89" i="2" s="1"/>
  <c r="U71" i="2"/>
  <c r="AC71" i="2" s="1"/>
  <c r="U4" i="2"/>
  <c r="AC4" i="2" s="1"/>
  <c r="U85" i="2"/>
  <c r="AC85" i="2" s="1"/>
  <c r="U75" i="2"/>
  <c r="AC75" i="2" s="1"/>
  <c r="U20" i="2"/>
  <c r="AC20" i="2" s="1"/>
  <c r="U84" i="2"/>
  <c r="AC84" i="2" s="1"/>
  <c r="U87" i="2"/>
  <c r="AC87" i="2" s="1"/>
  <c r="U51" i="2"/>
  <c r="AC51" i="2" s="1"/>
  <c r="U91" i="2"/>
  <c r="AC91" i="2" s="1"/>
  <c r="U41" i="2"/>
  <c r="AC41" i="2" s="1"/>
  <c r="U10" i="2"/>
  <c r="AC10" i="2" s="1"/>
  <c r="U63" i="2"/>
  <c r="AC63" i="2" s="1"/>
  <c r="U21" i="2"/>
  <c r="AC21" i="2" s="1"/>
  <c r="U78" i="2"/>
  <c r="AC78" i="2" s="1"/>
  <c r="U5" i="2"/>
  <c r="AC5" i="2" s="1"/>
  <c r="U37" i="2"/>
  <c r="AC37" i="2" s="1"/>
  <c r="U43" i="2"/>
  <c r="AC43" i="2" s="1"/>
  <c r="U88" i="2"/>
  <c r="AC88" i="2" s="1"/>
  <c r="U46" i="2"/>
  <c r="AC46" i="2" s="1"/>
  <c r="U27" i="2"/>
  <c r="AC27" i="2" s="1"/>
  <c r="U49" i="2"/>
  <c r="AC49" i="2" s="1"/>
  <c r="U22" i="2"/>
  <c r="AC22" i="2" s="1"/>
  <c r="U74" i="2"/>
  <c r="AC74" i="2" s="1"/>
  <c r="U83" i="2"/>
  <c r="AC83" i="2" s="1"/>
  <c r="U9" i="2"/>
  <c r="AC9" i="2" s="1"/>
  <c r="U38" i="2"/>
  <c r="AC38" i="2" s="1"/>
  <c r="U35" i="2"/>
  <c r="AC35" i="2" s="1"/>
  <c r="U86" i="2"/>
  <c r="AC86" i="2" s="1"/>
  <c r="U60" i="2"/>
  <c r="AC60" i="2" s="1"/>
  <c r="U68" i="2"/>
  <c r="AC68" i="2" s="1"/>
  <c r="U77" i="2"/>
  <c r="AC77" i="2" s="1"/>
  <c r="U19" i="2"/>
  <c r="AC19" i="2" s="1"/>
  <c r="U79" i="2"/>
  <c r="AC79" i="2" s="1"/>
  <c r="U57" i="2"/>
  <c r="AC57" i="2" s="1"/>
  <c r="U73" i="2"/>
  <c r="AC73" i="2" s="1"/>
  <c r="U90" i="2"/>
  <c r="AC90" i="2" s="1"/>
  <c r="T5" i="2"/>
  <c r="AB5" i="2" s="1"/>
  <c r="T81" i="2"/>
  <c r="AB81" i="2" s="1"/>
  <c r="T83" i="2"/>
  <c r="AB83" i="2" s="1"/>
  <c r="T20" i="2"/>
  <c r="AB20" i="2" s="1"/>
  <c r="T89" i="2"/>
  <c r="AB89" i="2" s="1"/>
  <c r="T49" i="2"/>
  <c r="AB49" i="2" s="1"/>
  <c r="T21" i="2"/>
  <c r="AB21" i="2" s="1"/>
  <c r="T79" i="2"/>
  <c r="AB79" i="2" s="1"/>
  <c r="T43" i="2"/>
  <c r="AB43" i="2" s="1"/>
  <c r="T57" i="2"/>
  <c r="AB57" i="2" s="1"/>
  <c r="T71" i="2"/>
  <c r="AB71" i="2" s="1"/>
  <c r="T27" i="2"/>
  <c r="AB27" i="2" s="1"/>
  <c r="T46" i="2"/>
  <c r="AB46" i="2" s="1"/>
  <c r="T9" i="2"/>
  <c r="AB9" i="2" s="1"/>
  <c r="T91" i="2"/>
  <c r="AB91" i="2" s="1"/>
  <c r="T87" i="2"/>
  <c r="AB87" i="2" s="1"/>
  <c r="T68" i="2"/>
  <c r="AB68" i="2" s="1"/>
  <c r="T37" i="2"/>
  <c r="AB37" i="2" s="1"/>
  <c r="T78" i="2"/>
  <c r="AB78" i="2" s="1"/>
  <c r="T41" i="2"/>
  <c r="AB41" i="2" s="1"/>
  <c r="T22" i="2"/>
  <c r="AB22" i="2" s="1"/>
  <c r="T73" i="2"/>
  <c r="AB73" i="2" s="1"/>
  <c r="T77" i="2"/>
  <c r="AB77" i="2" s="1"/>
  <c r="T4" i="2"/>
  <c r="AB4" i="2" s="1"/>
  <c r="T74" i="2"/>
  <c r="AB74" i="2" s="1"/>
  <c r="T84" i="2"/>
  <c r="AB84" i="2" s="1"/>
  <c r="T19" i="2"/>
  <c r="AB19" i="2" s="1"/>
  <c r="T86" i="2"/>
  <c r="AB86" i="2" s="1"/>
  <c r="T63" i="2"/>
  <c r="AB63" i="2" s="1"/>
  <c r="T10" i="2"/>
  <c r="AB10" i="2" s="1"/>
  <c r="T88" i="2"/>
  <c r="AB88" i="2" s="1"/>
  <c r="T90" i="2"/>
  <c r="AB90" i="2" s="1"/>
  <c r="T85" i="2"/>
  <c r="AB85" i="2" s="1"/>
  <c r="T38" i="2"/>
  <c r="AB38" i="2" s="1"/>
  <c r="T45" i="2"/>
  <c r="AB45" i="2" s="1"/>
  <c r="T82" i="2"/>
  <c r="AB82" i="2" s="1"/>
  <c r="T11" i="2"/>
  <c r="AB11" i="2" s="1"/>
  <c r="T60" i="2"/>
  <c r="AB60" i="2" s="1"/>
  <c r="T75" i="2"/>
  <c r="AB75" i="2" s="1"/>
  <c r="S74" i="2"/>
  <c r="AA74" i="2" s="1"/>
  <c r="S85" i="2"/>
  <c r="S82" i="2"/>
  <c r="S38" i="2"/>
  <c r="AA38" i="2" s="1"/>
  <c r="S20" i="2"/>
  <c r="AA20" i="2" s="1"/>
  <c r="S89" i="2"/>
  <c r="AA89" i="2" s="1"/>
  <c r="S41" i="2"/>
  <c r="AA41" i="2" s="1"/>
  <c r="S9" i="2"/>
  <c r="AA9" i="2" s="1"/>
  <c r="S81" i="2"/>
  <c r="S60" i="2"/>
  <c r="AA60" i="2" s="1"/>
  <c r="S84" i="2"/>
  <c r="AA84" i="2" s="1"/>
  <c r="S35" i="2"/>
  <c r="AA35" i="2" s="1"/>
  <c r="S63" i="2"/>
  <c r="AA63" i="2" s="1"/>
  <c r="S4" i="2"/>
  <c r="AA4" i="2" s="1"/>
  <c r="S75" i="2"/>
  <c r="AA75" i="2" s="1"/>
  <c r="S46" i="2"/>
  <c r="AA46" i="2" s="1"/>
  <c r="S21" i="2"/>
  <c r="AA21" i="2" s="1"/>
  <c r="S88" i="2"/>
  <c r="AA88" i="2" s="1"/>
  <c r="S34" i="2"/>
  <c r="AA34" i="2" s="1"/>
  <c r="S90" i="2"/>
  <c r="AA90" i="2" s="1"/>
  <c r="S68" i="2"/>
  <c r="AA68" i="2" s="1"/>
  <c r="S27" i="2"/>
  <c r="AA27" i="2" s="1"/>
  <c r="S22" i="2"/>
  <c r="AA22" i="2" s="1"/>
  <c r="S77" i="2"/>
  <c r="AA77" i="2" s="1"/>
  <c r="S37" i="2"/>
  <c r="AA37" i="2" s="1"/>
  <c r="S19" i="2"/>
  <c r="AA19" i="2" s="1"/>
  <c r="S51" i="2"/>
  <c r="AA51" i="2" s="1"/>
  <c r="S79" i="2"/>
  <c r="AA79" i="2" s="1"/>
  <c r="S78" i="2"/>
  <c r="S10" i="2"/>
  <c r="AA10" i="2" s="1"/>
  <c r="S91" i="2"/>
  <c r="AA91" i="2" s="1"/>
  <c r="S71" i="2"/>
  <c r="AA71" i="2" s="1"/>
  <c r="S87" i="2"/>
  <c r="AA87" i="2" s="1"/>
  <c r="S83" i="2"/>
  <c r="AA83" i="2" s="1"/>
  <c r="S45" i="2"/>
  <c r="AA45" i="2" s="1"/>
  <c r="S86" i="2"/>
  <c r="AA86" i="2" s="1"/>
  <c r="S49" i="2"/>
  <c r="AA49" i="2" s="1"/>
  <c r="S5" i="2"/>
  <c r="AA5" i="2" s="1"/>
  <c r="S73" i="2"/>
  <c r="AA73" i="2" s="1"/>
  <c r="S57" i="2"/>
  <c r="S43" i="2"/>
  <c r="AA43" i="2" s="1"/>
  <c r="S11" i="2"/>
  <c r="AA11" i="2" s="1"/>
  <c r="AA57" i="2"/>
  <c r="AE37" i="2"/>
  <c r="Z21" i="2"/>
  <c r="AE57" i="2"/>
  <c r="AE38" i="2"/>
  <c r="Z84" i="2"/>
  <c r="AE77" i="2"/>
  <c r="AA82" i="2"/>
  <c r="Z9" i="2"/>
  <c r="Z60" i="2"/>
  <c r="AE91" i="2"/>
  <c r="AE63" i="2"/>
  <c r="AE78" i="2"/>
  <c r="Z85" i="2"/>
  <c r="Z83" i="2"/>
  <c r="AE90" i="2"/>
  <c r="AE49" i="2"/>
  <c r="Z82" i="2"/>
  <c r="AE21" i="2"/>
  <c r="AE88" i="2"/>
  <c r="AA85" i="2"/>
  <c r="AE41" i="2"/>
  <c r="AE87" i="2"/>
  <c r="AE5" i="2"/>
  <c r="Z73" i="2"/>
  <c r="Z71" i="2"/>
  <c r="AE85" i="2"/>
  <c r="Z4" i="2"/>
  <c r="AE89" i="2"/>
  <c r="AE71" i="2"/>
  <c r="AE10" i="2"/>
  <c r="AE22" i="2"/>
  <c r="AA81" i="2"/>
  <c r="AA78" i="2"/>
  <c r="W31" i="2"/>
  <c r="AE31" i="2" s="1"/>
  <c r="W45" i="2"/>
  <c r="AE45" i="2" s="1"/>
  <c r="W43" i="2"/>
  <c r="AE43" i="2" s="1"/>
  <c r="W46" i="2"/>
  <c r="AE46" i="2" s="1"/>
  <c r="W11" i="2"/>
  <c r="AE11" i="2" s="1"/>
  <c r="W35" i="2"/>
  <c r="AE35" i="2" s="1"/>
  <c r="W17" i="2"/>
  <c r="AE17" i="2" s="1"/>
  <c r="W58" i="2"/>
  <c r="AE58" i="2" s="1"/>
  <c r="W34" i="2"/>
  <c r="AE34" i="2" s="1"/>
  <c r="W51" i="2"/>
  <c r="AE51" i="2" s="1"/>
  <c r="W16" i="2"/>
  <c r="AE16" i="2" s="1"/>
  <c r="W26" i="2"/>
  <c r="AE26" i="2" s="1"/>
  <c r="W66" i="2"/>
  <c r="AE66" i="2" s="1"/>
  <c r="W54" i="2"/>
  <c r="AE54" i="2" s="1"/>
  <c r="W40" i="2"/>
  <c r="AE40" i="2" s="1"/>
  <c r="W29" i="2"/>
  <c r="AE29" i="2" s="1"/>
  <c r="T66" i="2"/>
  <c r="AB66" i="2" s="1"/>
  <c r="S26" i="2"/>
  <c r="AA26" i="2" s="1"/>
  <c r="V40" i="2"/>
  <c r="AD40" i="2" s="1"/>
  <c r="U54" i="2"/>
  <c r="AC54" i="2" s="1"/>
  <c r="U66" i="2"/>
  <c r="AC66" i="2" s="1"/>
  <c r="T26" i="2"/>
  <c r="AB26" i="2" s="1"/>
  <c r="T54" i="2"/>
  <c r="AB54" i="2" s="1"/>
  <c r="X29" i="2"/>
  <c r="AF29" i="2" s="1"/>
  <c r="V54" i="2"/>
  <c r="AD54" i="2" s="1"/>
  <c r="V66" i="2"/>
  <c r="AD66" i="2" s="1"/>
  <c r="S16" i="2"/>
  <c r="AA16" i="2" s="1"/>
  <c r="U26" i="2"/>
  <c r="AC26" i="2" s="1"/>
  <c r="X40" i="2"/>
  <c r="AF40" i="2" s="1"/>
  <c r="T16" i="2"/>
  <c r="AB16" i="2" s="1"/>
  <c r="V26" i="2"/>
  <c r="AD26" i="2" s="1"/>
  <c r="T51" i="2"/>
  <c r="AB51" i="2" s="1"/>
  <c r="X54" i="2"/>
  <c r="AF54" i="2" s="1"/>
  <c r="S58" i="2"/>
  <c r="AA58" i="2" s="1"/>
  <c r="X66" i="2"/>
  <c r="AF66" i="2" s="1"/>
  <c r="T34" i="2"/>
  <c r="AB34" i="2" s="1"/>
  <c r="U16" i="2"/>
  <c r="AC16" i="2" s="1"/>
  <c r="T58" i="2"/>
  <c r="AB58" i="2" s="1"/>
  <c r="S17" i="2"/>
  <c r="AA17" i="2" s="1"/>
  <c r="U34" i="2"/>
  <c r="AC34" i="2" s="1"/>
  <c r="V16" i="2"/>
  <c r="AD16" i="2" s="1"/>
  <c r="X26" i="2"/>
  <c r="AF26" i="2" s="1"/>
  <c r="T17" i="2"/>
  <c r="AB17" i="2" s="1"/>
  <c r="V34" i="2"/>
  <c r="AD34" i="2" s="1"/>
  <c r="V51" i="2"/>
  <c r="AD51" i="2" s="1"/>
  <c r="T35" i="2"/>
  <c r="AB35" i="2" s="1"/>
  <c r="V58" i="2"/>
  <c r="AD58" i="2" s="1"/>
  <c r="U17" i="2"/>
  <c r="AC17" i="2" s="1"/>
  <c r="X16" i="2"/>
  <c r="AF16" i="2" s="1"/>
  <c r="U11" i="2"/>
  <c r="AC11" i="2" s="1"/>
  <c r="X17" i="2"/>
  <c r="AF17" i="2" s="1"/>
  <c r="U45" i="2"/>
  <c r="AC45" i="2" s="1"/>
  <c r="S29" i="2"/>
  <c r="AA29" i="2" s="1"/>
  <c r="V43" i="2"/>
  <c r="AD43" i="2" s="1"/>
  <c r="X46" i="2"/>
  <c r="AF46" i="2" s="1"/>
  <c r="V45" i="2"/>
  <c r="AD45" i="2" s="1"/>
  <c r="X11" i="2"/>
  <c r="AF11" i="2" s="1"/>
  <c r="S40" i="2"/>
  <c r="AA40" i="2" s="1"/>
  <c r="T40" i="2"/>
  <c r="AB40" i="2" s="1"/>
  <c r="T29" i="2"/>
  <c r="AB29" i="2" s="1"/>
  <c r="U29" i="2"/>
  <c r="AC29" i="2" s="1"/>
  <c r="X43" i="2"/>
  <c r="AF43" i="2" s="1"/>
  <c r="S54" i="2"/>
  <c r="AA54" i="2" s="1"/>
  <c r="X45" i="2"/>
  <c r="AF45" i="2" s="1"/>
  <c r="S66" i="2"/>
  <c r="AA66" i="2" s="1"/>
  <c r="U40" i="2"/>
  <c r="AC40" i="2" s="1"/>
  <c r="X56" i="2"/>
  <c r="AF56" i="2" s="1"/>
  <c r="X70" i="2"/>
  <c r="AF70" i="2" s="1"/>
  <c r="X53" i="2"/>
  <c r="AF53" i="2" s="1"/>
  <c r="X39" i="2"/>
  <c r="AF39" i="2" s="1"/>
  <c r="X33" i="2"/>
  <c r="AF33" i="2" s="1"/>
  <c r="X28" i="2"/>
  <c r="AF28" i="2" s="1"/>
  <c r="X67" i="2"/>
  <c r="AF67" i="2" s="1"/>
  <c r="X72" i="2"/>
  <c r="AF72" i="2" s="1"/>
  <c r="X18" i="2"/>
  <c r="AF18" i="2" s="1"/>
  <c r="W39" i="2"/>
  <c r="AE39" i="2" s="1"/>
  <c r="W53" i="2"/>
  <c r="AE53" i="2" s="1"/>
  <c r="W72" i="2"/>
  <c r="AE72" i="2" s="1"/>
  <c r="W67" i="2"/>
  <c r="AE67" i="2" s="1"/>
  <c r="W56" i="2"/>
  <c r="AE56" i="2" s="1"/>
  <c r="W33" i="2"/>
  <c r="AE33" i="2" s="1"/>
  <c r="W28" i="2"/>
  <c r="AE28" i="2" s="1"/>
  <c r="W70" i="2"/>
  <c r="AE70" i="2" s="1"/>
  <c r="W18" i="2"/>
  <c r="AE18" i="2" s="1"/>
  <c r="V67" i="2"/>
  <c r="AD67" i="2" s="1"/>
  <c r="V33" i="2"/>
  <c r="AD33" i="2" s="1"/>
  <c r="V72" i="2"/>
  <c r="AD72" i="2" s="1"/>
  <c r="V28" i="2"/>
  <c r="AD28" i="2" s="1"/>
  <c r="V39" i="2"/>
  <c r="AD39" i="2" s="1"/>
  <c r="V70" i="2"/>
  <c r="AD70" i="2" s="1"/>
  <c r="V53" i="2"/>
  <c r="AD53" i="2" s="1"/>
  <c r="V18" i="2"/>
  <c r="AD18" i="2" s="1"/>
  <c r="V56" i="2"/>
  <c r="AD56" i="2" s="1"/>
  <c r="U28" i="2"/>
  <c r="AC28" i="2" s="1"/>
  <c r="U56" i="2"/>
  <c r="AC56" i="2" s="1"/>
  <c r="U39" i="2"/>
  <c r="AC39" i="2" s="1"/>
  <c r="U33" i="2"/>
  <c r="AC33" i="2" s="1"/>
  <c r="U67" i="2"/>
  <c r="AC67" i="2" s="1"/>
  <c r="U70" i="2"/>
  <c r="AC70" i="2" s="1"/>
  <c r="U72" i="2"/>
  <c r="AC72" i="2" s="1"/>
  <c r="U18" i="2"/>
  <c r="AC18" i="2" s="1"/>
  <c r="U53" i="2"/>
  <c r="AC53" i="2" s="1"/>
  <c r="T67" i="2"/>
  <c r="AB67" i="2" s="1"/>
  <c r="T33" i="2"/>
  <c r="AB33" i="2" s="1"/>
  <c r="T56" i="2"/>
  <c r="AB56" i="2" s="1"/>
  <c r="T53" i="2"/>
  <c r="AB53" i="2" s="1"/>
  <c r="T39" i="2"/>
  <c r="AB39" i="2" s="1"/>
  <c r="T18" i="2"/>
  <c r="AB18" i="2" s="1"/>
  <c r="T28" i="2"/>
  <c r="AB28" i="2" s="1"/>
  <c r="T72" i="2"/>
  <c r="AB72" i="2" s="1"/>
  <c r="T70" i="2"/>
  <c r="AB70" i="2" s="1"/>
  <c r="S33" i="2"/>
  <c r="AA33" i="2" s="1"/>
  <c r="S72" i="2"/>
  <c r="AA72" i="2" s="1"/>
  <c r="S70" i="2"/>
  <c r="AA70" i="2" s="1"/>
  <c r="S28" i="2"/>
  <c r="AA28" i="2" s="1"/>
  <c r="S67" i="2"/>
  <c r="AA67" i="2" s="1"/>
  <c r="S53" i="2"/>
  <c r="AA53" i="2" s="1"/>
  <c r="S56" i="2"/>
  <c r="AA56" i="2" s="1"/>
  <c r="S39" i="2"/>
  <c r="AA39" i="2" s="1"/>
  <c r="S18" i="2"/>
  <c r="AA18" i="2" s="1"/>
  <c r="W14" i="2"/>
  <c r="AE14" i="2" s="1"/>
  <c r="W36" i="2"/>
  <c r="AE36" i="2" s="1"/>
  <c r="W23" i="2"/>
  <c r="AE23" i="2" s="1"/>
  <c r="W25" i="2"/>
  <c r="AE25" i="2" s="1"/>
  <c r="W62" i="2"/>
  <c r="AE62" i="2" s="1"/>
  <c r="W52" i="2"/>
  <c r="AE52" i="2" s="1"/>
  <c r="W42" i="2"/>
  <c r="AE42" i="2" s="1"/>
  <c r="W55" i="2"/>
  <c r="AE55" i="2" s="1"/>
  <c r="W15" i="2"/>
  <c r="AE15" i="2" s="1"/>
  <c r="W59" i="2"/>
  <c r="AE59" i="2" s="1"/>
  <c r="W80" i="2"/>
  <c r="AE80" i="2" s="1"/>
  <c r="W24" i="2"/>
  <c r="AE24" i="2" s="1"/>
  <c r="W76" i="2"/>
  <c r="AE76" i="2" s="1"/>
  <c r="W50" i="2"/>
  <c r="AE50" i="2" s="1"/>
  <c r="W44" i="2"/>
  <c r="AE44" i="2" s="1"/>
  <c r="W8" i="2"/>
  <c r="AE8" i="2" s="1"/>
  <c r="W47" i="2"/>
  <c r="AE47" i="2" s="1"/>
  <c r="W65" i="2"/>
  <c r="AE65" i="2" s="1"/>
  <c r="U76" i="2"/>
  <c r="AC76" i="2" s="1"/>
  <c r="U42" i="2"/>
  <c r="AC42" i="2" s="1"/>
  <c r="U8" i="2"/>
  <c r="AC8" i="2" s="1"/>
  <c r="U36" i="2"/>
  <c r="AC36" i="2" s="1"/>
  <c r="U50" i="2"/>
  <c r="AC50" i="2" s="1"/>
  <c r="U62" i="2"/>
  <c r="AC62" i="2" s="1"/>
  <c r="U15" i="2"/>
  <c r="AC15" i="2" s="1"/>
  <c r="U59" i="2"/>
  <c r="AC59" i="2" s="1"/>
  <c r="U55" i="2"/>
  <c r="AC55" i="2" s="1"/>
  <c r="U47" i="2"/>
  <c r="AC47" i="2" s="1"/>
  <c r="U23" i="2"/>
  <c r="AC23" i="2" s="1"/>
  <c r="U14" i="2"/>
  <c r="AC14" i="2" s="1"/>
  <c r="U80" i="2"/>
  <c r="AC80" i="2" s="1"/>
  <c r="U24" i="2"/>
  <c r="AC24" i="2" s="1"/>
  <c r="U25" i="2"/>
  <c r="AC25" i="2" s="1"/>
  <c r="U65" i="2"/>
  <c r="AC65" i="2" s="1"/>
  <c r="U44" i="2"/>
  <c r="AC44" i="2" s="1"/>
  <c r="U52" i="2"/>
  <c r="AC52" i="2" s="1"/>
  <c r="X47" i="2"/>
  <c r="AF47" i="2" s="1"/>
  <c r="X14" i="2"/>
  <c r="AF14" i="2" s="1"/>
  <c r="X62" i="2"/>
  <c r="AF62" i="2" s="1"/>
  <c r="X36" i="2"/>
  <c r="AF36" i="2" s="1"/>
  <c r="X24" i="2"/>
  <c r="AF24" i="2" s="1"/>
  <c r="X55" i="2"/>
  <c r="AF55" i="2" s="1"/>
  <c r="X76" i="2"/>
  <c r="AF76" i="2" s="1"/>
  <c r="X50" i="2"/>
  <c r="AF50" i="2" s="1"/>
  <c r="X42" i="2"/>
  <c r="AF42" i="2" s="1"/>
  <c r="X15" i="2"/>
  <c r="AF15" i="2" s="1"/>
  <c r="X44" i="2"/>
  <c r="AF44" i="2" s="1"/>
  <c r="X52" i="2"/>
  <c r="AF52" i="2" s="1"/>
  <c r="X80" i="2"/>
  <c r="AF80" i="2" s="1"/>
  <c r="X25" i="2"/>
  <c r="AF25" i="2" s="1"/>
  <c r="X23" i="2"/>
  <c r="AF23" i="2" s="1"/>
  <c r="X65" i="2"/>
  <c r="AF65" i="2" s="1"/>
  <c r="X59" i="2"/>
  <c r="AF59" i="2" s="1"/>
  <c r="X8" i="2"/>
  <c r="AF8" i="2" s="1"/>
  <c r="V52" i="2"/>
  <c r="AD52" i="2" s="1"/>
  <c r="V36" i="2"/>
  <c r="AD36" i="2" s="1"/>
  <c r="V44" i="2"/>
  <c r="AD44" i="2" s="1"/>
  <c r="V23" i="2"/>
  <c r="AD23" i="2" s="1"/>
  <c r="V59" i="2"/>
  <c r="AD59" i="2" s="1"/>
  <c r="V50" i="2"/>
  <c r="AD50" i="2" s="1"/>
  <c r="V65" i="2"/>
  <c r="AD65" i="2" s="1"/>
  <c r="V8" i="2"/>
  <c r="AD8" i="2" s="1"/>
  <c r="V24" i="2"/>
  <c r="AD24" i="2" s="1"/>
  <c r="V55" i="2"/>
  <c r="AD55" i="2" s="1"/>
  <c r="V14" i="2"/>
  <c r="AD14" i="2" s="1"/>
  <c r="V25" i="2"/>
  <c r="AD25" i="2" s="1"/>
  <c r="V42" i="2"/>
  <c r="AD42" i="2" s="1"/>
  <c r="V15" i="2"/>
  <c r="AD15" i="2" s="1"/>
  <c r="V47" i="2"/>
  <c r="AD47" i="2" s="1"/>
  <c r="V80" i="2"/>
  <c r="AD80" i="2" s="1"/>
  <c r="V76" i="2"/>
  <c r="AD76" i="2" s="1"/>
  <c r="V62" i="2"/>
  <c r="AD62" i="2" s="1"/>
  <c r="T14" i="2"/>
  <c r="AB14" i="2" s="1"/>
  <c r="T25" i="2"/>
  <c r="AB25" i="2" s="1"/>
  <c r="T76" i="2"/>
  <c r="AB76" i="2" s="1"/>
  <c r="T23" i="2"/>
  <c r="AB23" i="2" s="1"/>
  <c r="T24" i="2"/>
  <c r="AB24" i="2" s="1"/>
  <c r="T8" i="2"/>
  <c r="AB8" i="2" s="1"/>
  <c r="T36" i="2"/>
  <c r="AB36" i="2" s="1"/>
  <c r="T42" i="2"/>
  <c r="AB42" i="2" s="1"/>
  <c r="T65" i="2"/>
  <c r="AB65" i="2" s="1"/>
  <c r="T50" i="2"/>
  <c r="AB50" i="2" s="1"/>
  <c r="T15" i="2"/>
  <c r="AB15" i="2" s="1"/>
  <c r="T47" i="2"/>
  <c r="AB47" i="2" s="1"/>
  <c r="T62" i="2"/>
  <c r="AB62" i="2" s="1"/>
  <c r="T55" i="2"/>
  <c r="AB55" i="2" s="1"/>
  <c r="T44" i="2"/>
  <c r="AB44" i="2" s="1"/>
  <c r="T59" i="2"/>
  <c r="AB59" i="2" s="1"/>
  <c r="T80" i="2"/>
  <c r="AB80" i="2" s="1"/>
  <c r="T52" i="2"/>
  <c r="AB52" i="2" s="1"/>
  <c r="S15" i="2"/>
  <c r="AA15" i="2" s="1"/>
  <c r="S55" i="2"/>
  <c r="AA55" i="2" s="1"/>
  <c r="S76" i="2"/>
  <c r="AA76" i="2" s="1"/>
  <c r="S23" i="2"/>
  <c r="AA23" i="2" s="1"/>
  <c r="S52" i="2"/>
  <c r="AA52" i="2" s="1"/>
  <c r="S47" i="2"/>
  <c r="AA47" i="2" s="1"/>
  <c r="S62" i="2"/>
  <c r="AA62" i="2" s="1"/>
  <c r="S65" i="2"/>
  <c r="AA65" i="2" s="1"/>
  <c r="S59" i="2"/>
  <c r="AA59" i="2" s="1"/>
  <c r="S14" i="2"/>
  <c r="AA14" i="2" s="1"/>
  <c r="S8" i="2"/>
  <c r="AA8" i="2" s="1"/>
  <c r="S50" i="2"/>
  <c r="AA50" i="2" s="1"/>
  <c r="S80" i="2"/>
  <c r="AA80" i="2" s="1"/>
  <c r="S44" i="2"/>
  <c r="AA44" i="2" s="1"/>
  <c r="S24" i="2"/>
  <c r="AA24" i="2" s="1"/>
  <c r="S42" i="2"/>
  <c r="AA42" i="2" s="1"/>
  <c r="S25" i="2"/>
  <c r="AA25" i="2" s="1"/>
  <c r="S36" i="2"/>
  <c r="AA36" i="2" s="1"/>
  <c r="X30" i="2"/>
  <c r="AF30" i="2" s="1"/>
  <c r="X69" i="2"/>
  <c r="AF69" i="2" s="1"/>
  <c r="X61" i="2"/>
  <c r="AF61" i="2" s="1"/>
  <c r="X6" i="2"/>
  <c r="AF6" i="2" s="1"/>
  <c r="X7" i="2"/>
  <c r="AF7" i="2" s="1"/>
  <c r="X31" i="2"/>
  <c r="AF31" i="2" s="1"/>
  <c r="X13" i="2"/>
  <c r="AF13" i="2" s="1"/>
  <c r="X3" i="2"/>
  <c r="AF3" i="2" s="1"/>
  <c r="X64" i="2"/>
  <c r="AF64" i="2" s="1"/>
  <c r="X48" i="2"/>
  <c r="AF48" i="2" s="1"/>
  <c r="X32" i="2"/>
  <c r="AF32" i="2" s="1"/>
  <c r="S32" i="2"/>
  <c r="AA32" i="2" s="1"/>
  <c r="W32" i="2"/>
  <c r="AE32" i="2" s="1"/>
  <c r="W48" i="2"/>
  <c r="AE48" i="2" s="1"/>
  <c r="S64" i="2"/>
  <c r="AA64" i="2" s="1"/>
  <c r="W30" i="2"/>
  <c r="AE30" i="2" s="1"/>
  <c r="T7" i="2"/>
  <c r="AB7" i="2" s="1"/>
  <c r="V13" i="2"/>
  <c r="AD13" i="2" s="1"/>
  <c r="T32" i="2"/>
  <c r="AB32" i="2" s="1"/>
  <c r="U3" i="2"/>
  <c r="AC3" i="2" s="1"/>
  <c r="U64" i="2"/>
  <c r="AC64" i="2" s="1"/>
  <c r="S7" i="2"/>
  <c r="AA7" i="2" s="1"/>
  <c r="W12" i="2"/>
  <c r="AE12" i="2" s="1"/>
  <c r="U69" i="2"/>
  <c r="AC69" i="2" s="1"/>
  <c r="W13" i="2"/>
  <c r="AE13" i="2" s="1"/>
  <c r="U61" i="2"/>
  <c r="AC61" i="2" s="1"/>
  <c r="S69" i="2"/>
  <c r="AA69" i="2" s="1"/>
  <c r="V3" i="2"/>
  <c r="AD3" i="2" s="1"/>
  <c r="U6" i="2"/>
  <c r="AC6" i="2" s="1"/>
  <c r="T30" i="2"/>
  <c r="AB30" i="2" s="1"/>
  <c r="V64" i="2"/>
  <c r="AD64" i="2" s="1"/>
  <c r="U7" i="2"/>
  <c r="AC7" i="2" s="1"/>
  <c r="T31" i="2"/>
  <c r="AB31" i="2" s="1"/>
  <c r="S30" i="2"/>
  <c r="AA30" i="2" s="1"/>
  <c r="V69" i="2"/>
  <c r="AD69" i="2" s="1"/>
  <c r="U31" i="2"/>
  <c r="AC31" i="2" s="1"/>
  <c r="T61" i="2"/>
  <c r="AB61" i="2" s="1"/>
  <c r="S31" i="2"/>
  <c r="AA31" i="2" s="1"/>
  <c r="V61" i="2"/>
  <c r="AD61" i="2" s="1"/>
  <c r="U48" i="2"/>
  <c r="AC48" i="2" s="1"/>
  <c r="S3" i="2"/>
  <c r="AA3" i="2" s="1"/>
  <c r="S61" i="2"/>
  <c r="AA61" i="2" s="1"/>
  <c r="W3" i="2"/>
  <c r="AE3" i="2" s="1"/>
  <c r="V6" i="2"/>
  <c r="AD6" i="2" s="1"/>
  <c r="U32" i="2"/>
  <c r="AC32" i="2" s="1"/>
  <c r="W64" i="2"/>
  <c r="AE64" i="2" s="1"/>
  <c r="U30" i="2"/>
  <c r="AC30" i="2" s="1"/>
  <c r="S12" i="2"/>
  <c r="AA12" i="2" s="1"/>
  <c r="W69" i="2"/>
  <c r="AE69" i="2" s="1"/>
  <c r="V31" i="2"/>
  <c r="AD31" i="2" s="1"/>
  <c r="U12" i="2"/>
  <c r="AC12" i="2" s="1"/>
  <c r="T3" i="2"/>
  <c r="AB3" i="2" s="1"/>
  <c r="T12" i="2"/>
  <c r="AB12" i="2" s="1"/>
  <c r="T48" i="2"/>
  <c r="AB48" i="2" s="1"/>
  <c r="W61" i="2"/>
  <c r="AE61" i="2" s="1"/>
  <c r="V48" i="2"/>
  <c r="AD48" i="2" s="1"/>
  <c r="V7" i="2"/>
  <c r="AD7" i="2" s="1"/>
  <c r="T6" i="2"/>
  <c r="AB6" i="2" s="1"/>
  <c r="S48" i="2"/>
  <c r="AA48" i="2" s="1"/>
  <c r="W6" i="2"/>
  <c r="AE6" i="2" s="1"/>
  <c r="V32" i="2"/>
  <c r="AD32" i="2" s="1"/>
  <c r="T13" i="2"/>
  <c r="AB13" i="2" s="1"/>
  <c r="W7" i="2"/>
  <c r="AE7" i="2" s="1"/>
  <c r="T69" i="2"/>
  <c r="AB69" i="2" s="1"/>
  <c r="S6" i="2"/>
  <c r="AA6" i="2" s="1"/>
  <c r="V30" i="2"/>
  <c r="AD30" i="2" s="1"/>
  <c r="D11" i="1"/>
  <c r="G3" i="1"/>
  <c r="AG77" i="2" l="1"/>
  <c r="N77" i="2" s="1"/>
  <c r="O77" i="2" s="1"/>
  <c r="AG88" i="2"/>
  <c r="N88" i="2" s="1"/>
  <c r="O88" i="2" s="1"/>
  <c r="AG89" i="2"/>
  <c r="N89" i="2" s="1"/>
  <c r="O89" i="2" s="1"/>
  <c r="AG38" i="2"/>
  <c r="N38" i="2" s="1"/>
  <c r="O38" i="2" s="1"/>
  <c r="AG5" i="2"/>
  <c r="N5" i="2" s="1"/>
  <c r="O5" i="2" s="1"/>
  <c r="AG41" i="2"/>
  <c r="N41" i="2" s="1"/>
  <c r="O41" i="2" s="1"/>
  <c r="AG75" i="2"/>
  <c r="N75" i="2" s="1"/>
  <c r="O75" i="2" s="1"/>
  <c r="AG27" i="2"/>
  <c r="N27" i="2" s="1"/>
  <c r="O27" i="2" s="1"/>
  <c r="AG20" i="2"/>
  <c r="N20" i="2" s="1"/>
  <c r="O20" i="2" s="1"/>
  <c r="AG74" i="2"/>
  <c r="N74" i="2" s="1"/>
  <c r="O74" i="2" s="1"/>
  <c r="AG22" i="2"/>
  <c r="N22" i="2" s="1"/>
  <c r="O22" i="2" s="1"/>
  <c r="AG90" i="2"/>
  <c r="N90" i="2" s="1"/>
  <c r="O90" i="2" s="1"/>
  <c r="AG87" i="2"/>
  <c r="N87" i="2" s="1"/>
  <c r="O87" i="2" s="1"/>
  <c r="AG63" i="2"/>
  <c r="N63" i="2" s="1"/>
  <c r="O63" i="2" s="1"/>
  <c r="AG19" i="2"/>
  <c r="N19" i="2" s="1"/>
  <c r="O19" i="2" s="1"/>
  <c r="AG10" i="2"/>
  <c r="N10" i="2" s="1"/>
  <c r="O10" i="2" s="1"/>
  <c r="AG91" i="2"/>
  <c r="N91" i="2" s="1"/>
  <c r="O91" i="2" s="1"/>
  <c r="AG4" i="2"/>
  <c r="N4" i="2" s="1"/>
  <c r="O4" i="2" s="1"/>
  <c r="AG49" i="2"/>
  <c r="N49" i="2" s="1"/>
  <c r="O49" i="2" s="1"/>
  <c r="AG86" i="2"/>
  <c r="N86" i="2" s="1"/>
  <c r="O86" i="2" s="1"/>
  <c r="AG79" i="2"/>
  <c r="N79" i="2" s="1"/>
  <c r="O79" i="2" s="1"/>
  <c r="AG84" i="2"/>
  <c r="N84" i="2" s="1"/>
  <c r="O84" i="2" s="1"/>
  <c r="AG57" i="2"/>
  <c r="N57" i="2" s="1"/>
  <c r="O57" i="2" s="1"/>
  <c r="AG37" i="2"/>
  <c r="N37" i="2" s="1"/>
  <c r="O37" i="2" s="1"/>
  <c r="AG9" i="2"/>
  <c r="N9" i="2" s="1"/>
  <c r="O9" i="2" s="1"/>
  <c r="AG21" i="2"/>
  <c r="N21" i="2" s="1"/>
  <c r="O21" i="2" s="1"/>
  <c r="AG71" i="2"/>
  <c r="N71" i="2" s="1"/>
  <c r="O71" i="2" s="1"/>
  <c r="AG68" i="2"/>
  <c r="N68" i="2" s="1"/>
  <c r="O68" i="2" s="1"/>
  <c r="AG83" i="2"/>
  <c r="N83" i="2" s="1"/>
  <c r="O83" i="2" s="1"/>
  <c r="AG73" i="2"/>
  <c r="N73" i="2" s="1"/>
  <c r="O73" i="2" s="1"/>
  <c r="AG82" i="2"/>
  <c r="N82" i="2" s="1"/>
  <c r="O82" i="2" s="1"/>
  <c r="AG78" i="2"/>
  <c r="N78" i="2" s="1"/>
  <c r="O78" i="2" s="1"/>
  <c r="AG81" i="2"/>
  <c r="N81" i="2" s="1"/>
  <c r="O81" i="2" s="1"/>
  <c r="AG85" i="2"/>
  <c r="N85" i="2" s="1"/>
  <c r="O85" i="2" s="1"/>
  <c r="AG60" i="2"/>
  <c r="N60" i="2" s="1"/>
  <c r="O60" i="2" s="1"/>
  <c r="R26" i="2"/>
  <c r="Z26" i="2" s="1"/>
  <c r="AG26" i="2" s="1"/>
  <c r="N26" i="2" s="1"/>
  <c r="O26" i="2" s="1"/>
  <c r="R67" i="2"/>
  <c r="Z67" i="2" s="1"/>
  <c r="AG67" i="2" s="1"/>
  <c r="N67" i="2" s="1"/>
  <c r="O67" i="2" s="1"/>
  <c r="R23" i="2"/>
  <c r="Z23" i="2" s="1"/>
  <c r="AG23" i="2" s="1"/>
  <c r="N23" i="2" s="1"/>
  <c r="O23" i="2" s="1"/>
  <c r="R66" i="2"/>
  <c r="Z66" i="2" s="1"/>
  <c r="AG66" i="2" s="1"/>
  <c r="N66" i="2" s="1"/>
  <c r="O66" i="2" s="1"/>
  <c r="R54" i="2"/>
  <c r="Z54" i="2" s="1"/>
  <c r="AG54" i="2" s="1"/>
  <c r="N54" i="2" s="1"/>
  <c r="O54" i="2" s="1"/>
  <c r="R39" i="2"/>
  <c r="Z39" i="2" s="1"/>
  <c r="AG39" i="2" s="1"/>
  <c r="N39" i="2" s="1"/>
  <c r="O39" i="2" s="1"/>
  <c r="R65" i="2"/>
  <c r="Z65" i="2" s="1"/>
  <c r="AG65" i="2" s="1"/>
  <c r="N65" i="2" s="1"/>
  <c r="O65" i="2" s="1"/>
  <c r="R50" i="2"/>
  <c r="Z50" i="2" s="1"/>
  <c r="AG50" i="2" s="1"/>
  <c r="N50" i="2" s="1"/>
  <c r="O50" i="2" s="1"/>
  <c r="R29" i="2"/>
  <c r="Z29" i="2" s="1"/>
  <c r="AG29" i="2" s="1"/>
  <c r="N29" i="2" s="1"/>
  <c r="O29" i="2" s="1"/>
  <c r="R40" i="2"/>
  <c r="Z40" i="2" s="1"/>
  <c r="AG40" i="2" s="1"/>
  <c r="N40" i="2" s="1"/>
  <c r="O40" i="2" s="1"/>
  <c r="R43" i="2"/>
  <c r="Z43" i="2" s="1"/>
  <c r="AG43" i="2" s="1"/>
  <c r="N43" i="2" s="1"/>
  <c r="O43" i="2" s="1"/>
  <c r="R18" i="2"/>
  <c r="Z18" i="2" s="1"/>
  <c r="AG18" i="2" s="1"/>
  <c r="N18" i="2" s="1"/>
  <c r="O18" i="2" s="1"/>
  <c r="R70" i="2"/>
  <c r="Z70" i="2" s="1"/>
  <c r="AG70" i="2" s="1"/>
  <c r="N70" i="2" s="1"/>
  <c r="O70" i="2" s="1"/>
  <c r="R45" i="2"/>
  <c r="Z45" i="2" s="1"/>
  <c r="AG45" i="2" s="1"/>
  <c r="N45" i="2" s="1"/>
  <c r="O45" i="2" s="1"/>
  <c r="R11" i="2"/>
  <c r="Z11" i="2" s="1"/>
  <c r="AG11" i="2" s="1"/>
  <c r="N11" i="2" s="1"/>
  <c r="O11" i="2" s="1"/>
  <c r="R46" i="2"/>
  <c r="Z46" i="2" s="1"/>
  <c r="AG46" i="2" s="1"/>
  <c r="N46" i="2" s="1"/>
  <c r="O46" i="2" s="1"/>
  <c r="R52" i="2"/>
  <c r="Z52" i="2" s="1"/>
  <c r="AG52" i="2" s="1"/>
  <c r="N52" i="2" s="1"/>
  <c r="O52" i="2" s="1"/>
  <c r="R42" i="2"/>
  <c r="Z42" i="2" s="1"/>
  <c r="AG42" i="2" s="1"/>
  <c r="N42" i="2" s="1"/>
  <c r="O42" i="2" s="1"/>
  <c r="R24" i="2"/>
  <c r="Z24" i="2" s="1"/>
  <c r="AG24" i="2" s="1"/>
  <c r="N24" i="2" s="1"/>
  <c r="O24" i="2" s="1"/>
  <c r="R15" i="2"/>
  <c r="Z15" i="2" s="1"/>
  <c r="AG15" i="2" s="1"/>
  <c r="N15" i="2" s="1"/>
  <c r="O15" i="2" s="1"/>
  <c r="R33" i="2"/>
  <c r="Z33" i="2" s="1"/>
  <c r="AG33" i="2" s="1"/>
  <c r="N33" i="2" s="1"/>
  <c r="O33" i="2" s="1"/>
  <c r="R35" i="2"/>
  <c r="Z35" i="2" s="1"/>
  <c r="AG35" i="2" s="1"/>
  <c r="N35" i="2" s="1"/>
  <c r="O35" i="2" s="1"/>
  <c r="R72" i="2"/>
  <c r="Z72" i="2" s="1"/>
  <c r="AG72" i="2" s="1"/>
  <c r="N72" i="2" s="1"/>
  <c r="O72" i="2" s="1"/>
  <c r="R14" i="2"/>
  <c r="Z14" i="2" s="1"/>
  <c r="AG14" i="2" s="1"/>
  <c r="N14" i="2" s="1"/>
  <c r="O14" i="2" s="1"/>
  <c r="R17" i="2"/>
  <c r="Z17" i="2" s="1"/>
  <c r="AG17" i="2" s="1"/>
  <c r="N17" i="2" s="1"/>
  <c r="O17" i="2" s="1"/>
  <c r="R53" i="2"/>
  <c r="Z53" i="2" s="1"/>
  <c r="AG53" i="2" s="1"/>
  <c r="N53" i="2" s="1"/>
  <c r="O53" i="2" s="1"/>
  <c r="R80" i="2"/>
  <c r="Z80" i="2" s="1"/>
  <c r="AG80" i="2" s="1"/>
  <c r="N80" i="2" s="1"/>
  <c r="O80" i="2" s="1"/>
  <c r="R76" i="2"/>
  <c r="Z76" i="2" s="1"/>
  <c r="AG76" i="2" s="1"/>
  <c r="N76" i="2" s="1"/>
  <c r="O76" i="2" s="1"/>
  <c r="R55" i="2"/>
  <c r="Z55" i="2" s="1"/>
  <c r="AG55" i="2" s="1"/>
  <c r="N55" i="2" s="1"/>
  <c r="O55" i="2" s="1"/>
  <c r="R56" i="2"/>
  <c r="Z56" i="2" s="1"/>
  <c r="AG56" i="2" s="1"/>
  <c r="N56" i="2" s="1"/>
  <c r="O56" i="2" s="1"/>
  <c r="R58" i="2"/>
  <c r="Z58" i="2" s="1"/>
  <c r="AG58" i="2" s="1"/>
  <c r="N58" i="2" s="1"/>
  <c r="O58" i="2" s="1"/>
  <c r="R8" i="2"/>
  <c r="Z8" i="2" s="1"/>
  <c r="AG8" i="2" s="1"/>
  <c r="N8" i="2" s="1"/>
  <c r="O8" i="2" s="1"/>
  <c r="R34" i="2"/>
  <c r="Z34" i="2" s="1"/>
  <c r="AG34" i="2" s="1"/>
  <c r="N34" i="2" s="1"/>
  <c r="O34" i="2" s="1"/>
  <c r="R51" i="2"/>
  <c r="Z51" i="2" s="1"/>
  <c r="AG51" i="2" s="1"/>
  <c r="N51" i="2" s="1"/>
  <c r="O51" i="2" s="1"/>
  <c r="R28" i="2"/>
  <c r="Z28" i="2" s="1"/>
  <c r="AG28" i="2" s="1"/>
  <c r="N28" i="2" s="1"/>
  <c r="O28" i="2" s="1"/>
  <c r="R36" i="2"/>
  <c r="Z36" i="2" s="1"/>
  <c r="AG36" i="2" s="1"/>
  <c r="N36" i="2" s="1"/>
  <c r="O36" i="2" s="1"/>
  <c r="R25" i="2"/>
  <c r="Z25" i="2" s="1"/>
  <c r="AG25" i="2" s="1"/>
  <c r="N25" i="2" s="1"/>
  <c r="O25" i="2" s="1"/>
  <c r="R16" i="2"/>
  <c r="Z16" i="2" s="1"/>
  <c r="AG16" i="2" s="1"/>
  <c r="N16" i="2" s="1"/>
  <c r="O16" i="2" s="1"/>
  <c r="R44" i="2"/>
  <c r="Z44" i="2" s="1"/>
  <c r="AG44" i="2" s="1"/>
  <c r="N44" i="2" s="1"/>
  <c r="O44" i="2" s="1"/>
  <c r="R62" i="2"/>
  <c r="Z62" i="2" s="1"/>
  <c r="AG62" i="2" s="1"/>
  <c r="N62" i="2" s="1"/>
  <c r="O62" i="2" s="1"/>
  <c r="R47" i="2"/>
  <c r="Z47" i="2" s="1"/>
  <c r="AG47" i="2" s="1"/>
  <c r="N47" i="2" s="1"/>
  <c r="O47" i="2" s="1"/>
  <c r="R59" i="2"/>
  <c r="Z59" i="2" s="1"/>
  <c r="AG59" i="2" s="1"/>
  <c r="N59" i="2" s="1"/>
  <c r="O59" i="2" s="1"/>
  <c r="D13" i="1"/>
  <c r="D15" i="1" s="1"/>
  <c r="R48" i="2"/>
  <c r="Z48" i="2" s="1"/>
  <c r="AG48" i="2" s="1"/>
  <c r="N48" i="2" s="1"/>
  <c r="O48" i="2" s="1"/>
  <c r="R12" i="2"/>
  <c r="Z12" i="2" s="1"/>
  <c r="AG12" i="2" s="1"/>
  <c r="N12" i="2" s="1"/>
  <c r="O12" i="2" s="1"/>
  <c r="R32" i="2"/>
  <c r="Z32" i="2" s="1"/>
  <c r="AG32" i="2" s="1"/>
  <c r="N32" i="2" s="1"/>
  <c r="O32" i="2" s="1"/>
  <c r="R31" i="2"/>
  <c r="Z31" i="2" s="1"/>
  <c r="AG31" i="2" s="1"/>
  <c r="N31" i="2" s="1"/>
  <c r="O31" i="2" s="1"/>
  <c r="R6" i="2"/>
  <c r="Z6" i="2" s="1"/>
  <c r="AG6" i="2" s="1"/>
  <c r="N6" i="2" s="1"/>
  <c r="O6" i="2" s="1"/>
  <c r="R61" i="2"/>
  <c r="Z61" i="2" s="1"/>
  <c r="AG61" i="2" s="1"/>
  <c r="N61" i="2" s="1"/>
  <c r="O61" i="2" s="1"/>
  <c r="R30" i="2"/>
  <c r="Z30" i="2" s="1"/>
  <c r="AG30" i="2" s="1"/>
  <c r="N30" i="2" s="1"/>
  <c r="O30" i="2" s="1"/>
  <c r="R13" i="2"/>
  <c r="Z13" i="2" s="1"/>
  <c r="AG13" i="2" s="1"/>
  <c r="N13" i="2" s="1"/>
  <c r="O13" i="2" s="1"/>
  <c r="R69" i="2"/>
  <c r="Z69" i="2" s="1"/>
  <c r="AG69" i="2" s="1"/>
  <c r="N69" i="2" s="1"/>
  <c r="O69" i="2" s="1"/>
  <c r="R3" i="2"/>
  <c r="Z3" i="2" s="1"/>
  <c r="AG3" i="2" s="1"/>
  <c r="N3" i="2" s="1"/>
  <c r="O3" i="2" s="1"/>
  <c r="R7" i="2"/>
  <c r="Z7" i="2" s="1"/>
  <c r="AG7" i="2" s="1"/>
  <c r="N7" i="2" s="1"/>
  <c r="O7" i="2" s="1"/>
  <c r="R64" i="2"/>
  <c r="Z64" i="2" s="1"/>
  <c r="AG64" i="2" s="1"/>
  <c r="N64" i="2" s="1"/>
  <c r="O6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tc={FF6E940B-A771-4014-BF4F-3DBF87629C0C}</author>
    <author>tc={774961F5-A0F0-4014-B18A-38F10A31962B}</author>
    <author>tc={F4BED563-477D-456F-B678-8B3AA4C39052}</author>
  </authors>
  <commentList>
    <comment ref="K2" authorId="0" shapeId="0" xr:uid="{FF6E940B-A771-4014-BF4F-3DBF87629C0C}">
      <text>
        <t>[Threaded comment]
Your version of Excel allows you to read this threaded comment; however, any edits to it will get removed if the file is opened in a newer version of Excel. Learn more: https://go.microsoft.com/fwlink/?linkid=870924
Comment:
    Om te vergelijken ga ik uit van het gemiddelde bedrag van € 45,- per behandeling en reken ik het bedrag uit n.a.v. het maximale aantal behandelingen en de maximale vergoeding per behandeling.</t>
      </text>
    </comment>
    <comment ref="W2" authorId="1" shapeId="0" xr:uid="{774961F5-A0F0-4014-B18A-38F10A31962B}">
      <text>
        <t>[Threaded comment]
Your version of Excel allows you to read this threaded comment; however, any edits to it will get removed if the file is opened in a newer version of Excel. Learn more: https://go.microsoft.com/fwlink/?linkid=870924
Comment:
    Om te vergelijken ga ik uit van het gemiddelde bedrag van € 45,- per behandeling en reken ik het bedrag uit n.a.v. het maximale aantal behandelingen en de maximale vergoeding per behandeling.</t>
      </text>
    </comment>
    <comment ref="AE2" authorId="2" shapeId="0" xr:uid="{F4BED563-477D-456F-B678-8B3AA4C39052}">
      <text>
        <t>[Threaded comment]
Your version of Excel allows you to read this threaded comment; however, any edits to it will get removed if the file is opened in a newer version of Excel. Learn more: https://go.microsoft.com/fwlink/?linkid=870924
Comment:
    Om te vergelijken ga ik uit van het gemiddelde bedrag van € 45,- per behandeling en reken ik het bedrag uit n.a.v. het maximale aantal behandelingen en de maximale vergoeding per behandeling.</t>
      </text>
    </comment>
  </commentList>
</comments>
</file>

<file path=xl/sharedStrings.xml><?xml version="1.0" encoding="utf-8"?>
<sst xmlns="http://schemas.openxmlformats.org/spreadsheetml/2006/main" count="369" uniqueCount="182">
  <si>
    <t>Eigen bijdrage kraamzorg</t>
  </si>
  <si>
    <t>€ 4,70 per uur</t>
  </si>
  <si>
    <t>Gemiddeld</t>
  </si>
  <si>
    <t>Opmerking</t>
  </si>
  <si>
    <t>Eigen bijdrage ziekenhuisbevalling zonder medische indicatie</t>
  </si>
  <si>
    <t>De meeste vrouwen maken gebruik van kraamzorg thuis, maar dit is niet verplicht.</t>
  </si>
  <si>
    <t>Je krijgt € 230,- vergoed van het tarief wat jouw gekozen ziekenhuis rekent voor het gebruik van de verloskamer. Gemiddeld betaal je daardoor € 365,-. Het daadwerkelijke tarief hangt af van het ziekenhuis. Wil jij een ruggenprik? Dan heb je automatisch een medische indicatie.</t>
  </si>
  <si>
    <t>Zwangerschapscursussen</t>
  </si>
  <si>
    <t>Kraampakket</t>
  </si>
  <si>
    <t xml:space="preserve">Een kraampakket heb je nodig wanneer je thuis bevalt, maar ook bij een ziekenhuisbevalling. Het is namelijk maar de vraag of je het haalt om bij het ziekenhuis te komen. Je kunt dit verzekeren, of zelf los aanschaffen. </t>
  </si>
  <si>
    <t>Lactatiekundige hulp</t>
  </si>
  <si>
    <t>Wanneer je borstvoeding geeft en het niet direct helemaal lukt, kun je een lactatiekundige inschakelen. Hiervoor betaal je een bedrag voor een eenmalig huisbezoek en telefonische hulp achteraf</t>
  </si>
  <si>
    <t>Bekkenfysiotherapie</t>
  </si>
  <si>
    <t xml:space="preserve">Bij urine incontinentie wordt bekkenfysiotherapie tot 9 behandelingen via de basisverzekering vergoed. Bij andere klachten of meer behandelingen betaal je gemiddeld € 45,- per behandeling. Gemiddeld hebben vrouwen 8 behandelingen nodig. </t>
  </si>
  <si>
    <t>€ 45,- per behandeling</t>
  </si>
  <si>
    <t>€ 125,- per behandeling (incl. nazorg)</t>
  </si>
  <si>
    <t>€ 20,- tot € 50,-</t>
  </si>
  <si>
    <t>€ 200,- per cursus</t>
  </si>
  <si>
    <t>Je kiest zelf of je een zwangerschapscursus wilt doen. Een gemiddelde cursus is ongeveer € 200,-. Dit bedrag hangt natuurlijk af van wat voor cursus je wilt doen. Sommige gemeenten vergoeden bepaalde cursussen.</t>
  </si>
  <si>
    <t>€ 365,- per bevalling</t>
  </si>
  <si>
    <t>Denk je dit te gebruiken? Vul in!</t>
  </si>
  <si>
    <t>Ja</t>
  </si>
  <si>
    <t>Gemiddeld bedrag</t>
  </si>
  <si>
    <t>Type zorg</t>
  </si>
  <si>
    <t>Kosten</t>
  </si>
  <si>
    <t>Gemiddeld totaalbedrag o.b.v. jouw antwoorden</t>
  </si>
  <si>
    <t>Gemiddeld totaalbedrag alles</t>
  </si>
  <si>
    <t>Verzekeraar</t>
  </si>
  <si>
    <t>Zekur</t>
  </si>
  <si>
    <t>Aanvullend pakket</t>
  </si>
  <si>
    <t>Premie aanvullende verzekering</t>
  </si>
  <si>
    <t>Premie basis verzekering</t>
  </si>
  <si>
    <t>Borstkolf</t>
  </si>
  <si>
    <t>Eigen bijdrage ziekenhuis-bevalling zonder medische indicatie</t>
  </si>
  <si>
    <t>Zwangerschaps-cursussen</t>
  </si>
  <si>
    <t>Bekken-fysiotherapie</t>
  </si>
  <si>
    <t>Totale premie</t>
  </si>
  <si>
    <t>Totale vergoeding o.b.v. jouw verwachting</t>
  </si>
  <si>
    <t>Let op!</t>
  </si>
  <si>
    <t>Basis Gewoon Zeker + Extra Zekur Zorg</t>
  </si>
  <si>
    <t>Basis Zekur Vrij + Extra Zekur Zorg</t>
  </si>
  <si>
    <t>PMA Zorgverzekering</t>
  </si>
  <si>
    <t>PMA Basis + ExtraVerzorgd 2</t>
  </si>
  <si>
    <t>PMA Basis Vrij + ExtraVerzorgd 2</t>
  </si>
  <si>
    <t>PMA Basis + Extraverzorgd 3</t>
  </si>
  <si>
    <t>PMA Basis Vrij + ExtraVerzorgd 3</t>
  </si>
  <si>
    <t>HEMA</t>
  </si>
  <si>
    <t>Basisverzekering + Aanvullend 3</t>
  </si>
  <si>
    <t>Univé</t>
  </si>
  <si>
    <t>ZorgSelect + Aanvullend Best</t>
  </si>
  <si>
    <t>ZorgSelect + Aanvullend Beter</t>
  </si>
  <si>
    <t>ONVZ</t>
  </si>
  <si>
    <t>Basis + Benfit</t>
  </si>
  <si>
    <t>Basis + Optifit</t>
  </si>
  <si>
    <t>Basis + Topfit</t>
  </si>
  <si>
    <t>Eigen bijdrage bevalling in ziekenhuis én kraamzorg wordt vergoed tot maximaal € 250,-. Wil je beiden? Dan krijg je niet alles vergoed.</t>
  </si>
  <si>
    <t>Eigen bijdrage bevalling in ziekenhuis én kraamzorg wordt vergoed tot maximaal € 400,-. Wil je beiden? Dan krijg je niet alles vergoed.</t>
  </si>
  <si>
    <t>Eigen bijdrage bevalling in ziekenhuis én kraamzorg wordt vergoed tot maximaal € 550,-. Wil je beiden? Dan krijg je niet alles vergoed.  
Lactatiekundige wordt 100% vergoed. Voor de vergelijking heb ik dit gelijk gesteld met andere verzekeringen, maar je krijgt dus méér.</t>
  </si>
  <si>
    <t>Totale vergoeding van gewenst</t>
  </si>
  <si>
    <t>Een borstkolf kun je huren of zelf kopen. Afhankelijk van jouw wensen is het bedrag hiervoor hoger of lager. De huur van een borstkolf is ca. € 2,50 per dag. Als een borstkolf wordt vergoed, is dit vaak voor € 80,-</t>
  </si>
  <si>
    <t>% vergoeding t.o.v. premie die je betaalt</t>
  </si>
  <si>
    <t>Menzis</t>
  </si>
  <si>
    <t>Basis + ExtraVerzorgd 2</t>
  </si>
  <si>
    <t>Basis + Extraverzorgd 3</t>
  </si>
  <si>
    <t xml:space="preserve">Borstkolf indien geadviseerd door lactatiekundige valt onder bedrag 'Lactatiekundige hulp'. </t>
  </si>
  <si>
    <t>Basis Vrij + ExtraVerzorgd 2</t>
  </si>
  <si>
    <t>Basis Vrij + Extraverzorgd 3</t>
  </si>
  <si>
    <t>PNO Zorg</t>
  </si>
  <si>
    <t>Basis + PNO Plus</t>
  </si>
  <si>
    <t xml:space="preserve">Vergoeding voor eigen bijdrage kraamzorg + eigen bijdrage ziekenhuisbevalling zonder medische indicatie is € 400,- in totaal. Wil je beiden? Dan betaal je een deel zelf. </t>
  </si>
  <si>
    <t>Basis + PNO Optimaal</t>
  </si>
  <si>
    <t>Basis + PNO Top</t>
  </si>
  <si>
    <t>Basis + PNO Excellent</t>
  </si>
  <si>
    <t>Zwangerschapsdekking zorgverzekering 2022</t>
  </si>
  <si>
    <t>Type basis-verzekering</t>
  </si>
  <si>
    <t>Natura (80% niet-gecontracteerd)</t>
  </si>
  <si>
    <t>Borstkolf indien geadviseerd door lactatiekundige valt onder bedrag 'Lactatiekundige hulp'.</t>
  </si>
  <si>
    <t>Natura (65% niet gecontracteerd)</t>
  </si>
  <si>
    <t>Borstkolf indien geadviseerd door lactatiekundige valt onder bedrag 'Lactatiekundige hulp'. Dit is dezelfde verzekering als PMA Zorgverzekering.</t>
  </si>
  <si>
    <t>Combinatie (75%-100% niet gecontracteerd)</t>
  </si>
  <si>
    <t xml:space="preserve">Vergoeding voor eigen bijdrage kraamzorg + eigen bijdrage ziekenhuisbevalling zonder medische indicatie is € 550,- in totaal. Wil je beiden? Dan betaal je een heel klein deel zelf. Vergoeding lactatiekundige is 100%, dus je krijgt altijd vergoeding. 
IVF vergoeding voor poging 4 en 5 (tot 43 jaar). </t>
  </si>
  <si>
    <t>Vergoeding voor eigen bijdrage kraamzorg + eigen bijdrage ziekenhuisbevalling zonder medische indicatie is € 250,- in totaal. Wil je beiden? Dan betaal je veel zelf.</t>
  </si>
  <si>
    <t>VvAA Zorgverzekering</t>
  </si>
  <si>
    <t>Basis + VvAA Plus</t>
  </si>
  <si>
    <t>Basis + VvAA Optimaal</t>
  </si>
  <si>
    <t>Basis + VvAA Top</t>
  </si>
  <si>
    <t>Basis + VvAA Excellent</t>
  </si>
  <si>
    <t xml:space="preserve">Vergoeding voor eigen bijdrage kraamzorg + eigen bijdrage ziekenhuisbevalling zonder medische indicatie is € 550,- in totaal. Wil je beiden? Dan betaal je een heel klein deel zelf. Vergoeding lactatiekundige is 100%, dus je krijgt altijd vergoeding. </t>
  </si>
  <si>
    <t>Vergoeding voor eigen bijdrage kraamzorg + eigen bijdrage ziekenhuisbevalling zonder medische indicatie is € 550,- in totaal. Wil je beiden? Dan betaal je een heel klein deel zelf. Vergoeding voor lactatiekundige is 100%, dus je krijgt altijd vergoeding. Vergoeding voor fysiotherapie is 100%, dus je krijgt altijd vergoeding.
IVF vergoeding voor alle pogingen (tot 43 jaar).</t>
  </si>
  <si>
    <t>Prolife</t>
  </si>
  <si>
    <t>Natura (75% niet gecontracteerd)</t>
  </si>
  <si>
    <t>Basis Principe Polis  Budget + Medium</t>
  </si>
  <si>
    <t>Basis Principe Polis  Budget + Large</t>
  </si>
  <si>
    <t>Basis Principe Polis  Budget + Extra Large</t>
  </si>
  <si>
    <t>Basis Principe Polis + Medium</t>
  </si>
  <si>
    <t>Basis Principe Polis + Large</t>
  </si>
  <si>
    <t>Basis Principe Polis + Extra Large</t>
  </si>
  <si>
    <t>United Consumers</t>
  </si>
  <si>
    <t>Dit bedrag verwacht jij dus zelf te moeten betalen aan jouw bevallingszorg (zonder aanvullende verzekering)</t>
  </si>
  <si>
    <t>Dit komt neer op</t>
  </si>
  <si>
    <t>per maand</t>
  </si>
  <si>
    <t>VGZ</t>
  </si>
  <si>
    <t>DSW</t>
  </si>
  <si>
    <t>Nationale Nederlanden</t>
  </si>
  <si>
    <t>Stad Holland</t>
  </si>
  <si>
    <t>OHRA</t>
  </si>
  <si>
    <t>Zorg &amp; Zekerheid</t>
  </si>
  <si>
    <t>CZ</t>
  </si>
  <si>
    <t>Zilveren Kruis</t>
  </si>
  <si>
    <t>Basis Budget + Aanvullend 2 sterren</t>
  </si>
  <si>
    <t>Basis Budget + Aanvullend 3 sterren</t>
  </si>
  <si>
    <t>Basis Zeker + Aanvullend 2 sterren</t>
  </si>
  <si>
    <t>Basis Exclusief + Aanvullend 2 sterren</t>
  </si>
  <si>
    <t>Basis Budget + Aanvullend 4 sterren</t>
  </si>
  <si>
    <t>Basis Zeker + Aanvullend 3 sterren</t>
  </si>
  <si>
    <t>Basis Zeker + Aanvullend 4 sterren</t>
  </si>
  <si>
    <t>Basis Exclusief + Aanvullend 3 sterren</t>
  </si>
  <si>
    <t>Basis Exclusief + Aanvullend 4 sterren</t>
  </si>
  <si>
    <t>Restitutie (100% bij niet gecontracteerd)</t>
  </si>
  <si>
    <t>IZA</t>
  </si>
  <si>
    <t>Basis Keuze + Extra zorg 2</t>
  </si>
  <si>
    <t>Basis Keuze + Extra zorg 3</t>
  </si>
  <si>
    <t>Basis Keuze + Extra zorg 1</t>
  </si>
  <si>
    <t>Natura (70% bij niet gecontracteerd)</t>
  </si>
  <si>
    <t>Natura (80% bij niet gecontracteerd)</t>
  </si>
  <si>
    <t>Basis Eigen Keuze + Extra zorg 2</t>
  </si>
  <si>
    <t>Basis Ruime Keuze + Extra zorg 1</t>
  </si>
  <si>
    <t>Basis Ruime Keuze + Extra zorg 2</t>
  </si>
  <si>
    <t>Basis Ruime Keuze + Extra zorg 3</t>
  </si>
  <si>
    <t>Basis Eigen Keuze + Extra zorg 1</t>
  </si>
  <si>
    <t>Basis Eigen Keuze + Extra zorg 3</t>
  </si>
  <si>
    <t>Basis Keuze + Aanvullend Beter</t>
  </si>
  <si>
    <t>Basis Ruime Keuze + Aanvullend Beter</t>
  </si>
  <si>
    <t>Basis Eigen Keuze + Aanvullend Beter</t>
  </si>
  <si>
    <t>Basis Keuze + Aanvullend Best</t>
  </si>
  <si>
    <t>Basis Ruime Keuze + Aanvullend Best</t>
  </si>
  <si>
    <t>Basis Eigen Keuze + Aanvullend Best</t>
  </si>
  <si>
    <t>Basis + AV-Compact</t>
  </si>
  <si>
    <t>Basis + AV Standaard</t>
  </si>
  <si>
    <t>Basis + AV Top</t>
  </si>
  <si>
    <t>Sorteer deze kolom (kolom o) op van groot naar klein voor de beste vergoeding t.o.v. premie voor jouw selectie. Hoe hoger hoe beter!</t>
  </si>
  <si>
    <t>Basis + Start</t>
  </si>
  <si>
    <t>Basis + Extra</t>
  </si>
  <si>
    <t>Basis + Compleet</t>
  </si>
  <si>
    <t>Basis + Uitgebreid</t>
  </si>
  <si>
    <t>Basis Zorgbewust + Gezinnen</t>
  </si>
  <si>
    <t>Basis Zorg op Maat + Gezinnen</t>
  </si>
  <si>
    <t>Basis Zorgkeuze + Gezinnen</t>
  </si>
  <si>
    <t>UC Bewuste Keuze + ZorgZeker 2</t>
  </si>
  <si>
    <t>UC Bewuste Keuze + ZorgZeker 3</t>
  </si>
  <si>
    <t>UC Ruime Keuze + ZorgZeker 2</t>
  </si>
  <si>
    <t>UC Ruime Keuze + ZorgZeker 3</t>
  </si>
  <si>
    <t>UC Eigen Keuze + ZorgZeker 2</t>
  </si>
  <si>
    <t>UC Eigen Keuze + ZorgZeker 3</t>
  </si>
  <si>
    <t>InTwente</t>
  </si>
  <si>
    <t>Basis + AV-Standaard</t>
  </si>
  <si>
    <t>Basis + AV-Top</t>
  </si>
  <si>
    <t>Basis + Extra Uitgebreide AV</t>
  </si>
  <si>
    <t>Basis + Standaard AV</t>
  </si>
  <si>
    <t>Basis + Uitgebreide AV</t>
  </si>
  <si>
    <t>Basis + Compact AV</t>
  </si>
  <si>
    <t>Eigen bijdrage kraamzorg wordt tot € 262,- vergoed.</t>
  </si>
  <si>
    <t>Zorg Zeker + AV Standaard</t>
  </si>
  <si>
    <t>Zorg Zeker + AV-GeZZin</t>
  </si>
  <si>
    <t>Zorg Zeker + AV-Top</t>
  </si>
  <si>
    <t>Zorg Vrij + AV Standaard</t>
  </si>
  <si>
    <t>Zorg Vrij + AV-GeZZin</t>
  </si>
  <si>
    <t>Zorg Vrij + AV-Top</t>
  </si>
  <si>
    <t>UMC Zorgverzekering</t>
  </si>
  <si>
    <t>Basis Ruime Keuze  + Extra Zorg 3</t>
  </si>
  <si>
    <t>Basis Vrije Keuze  + Extra Zorg 3</t>
  </si>
  <si>
    <t>ZorgGeregeld + Aanvullend Beter</t>
  </si>
  <si>
    <t>ZorgGeregeld + Aanvullend Best</t>
  </si>
  <si>
    <t>ZorgVrij + Aanvullend Beter</t>
  </si>
  <si>
    <t>ZorgVrij + Aanvullend Best</t>
  </si>
  <si>
    <t>Combinatie (70%-100% bij niet gecontracteerd)</t>
  </si>
  <si>
    <t>Vergoeding voor eigen bijdrage kraamzorg is € 125,- per jaar.</t>
  </si>
  <si>
    <t>Uitleg</t>
  </si>
  <si>
    <t>Vergelijkingssites</t>
  </si>
  <si>
    <r>
      <t xml:space="preserve">Dit overzicht bevat de verzekeraars die in 2022 een aanvullend pakket aanbieden waarin kraamzorg (deels) wordt vergoedt. In dit overzicht wordt geen rekening gehouden met andere vergoedingen die in de pakketten vallen en niet met zwangerschap te maken hebben. Wil jij voor meer zaken verzekerd zijn dan alleen voor zwangerschapsgerelateerde kosten? Gebruik dan een van onderstaande </t>
    </r>
    <r>
      <rPr>
        <b/>
        <sz val="11"/>
        <color theme="1"/>
        <rFont val="Calibri"/>
        <family val="2"/>
        <scheme val="minor"/>
      </rPr>
      <t>vergelijkingsites</t>
    </r>
    <r>
      <rPr>
        <sz val="11"/>
        <color theme="1"/>
        <rFont val="Calibri"/>
        <family val="2"/>
        <scheme val="minor"/>
      </rPr>
      <t xml:space="preserve"> om te zien wat voor jou de voordeligste optie is. 
Dit overzicht is gemaakt als handige tool om jou te helpen met vergelijken, er kunnen fouten in geslopen zijn. Hier kunnen verder geen rechten aan worden ontleend. De premies en voorwaarden zoals weergegeven op de website van de verzekeraar zijn altijd de juiste gegevens. In dit overzicht worden affiliatelinks gebruikt. Hiermee ontvang ik een vergoeding als je een verzekering afsluit -als een soort bedankje voor dit overzicht-. Jij betaalt natuurlijk niets extra. Dit overzicht heeft auteursrecht van One Broke Girl en mag niet zomaar nagemaakt worden. Wel mag je dit in de huidige vorm aan al jouw vrienden doorsturen. 
</t>
    </r>
  </si>
  <si>
    <t>In het vergoedingenoverzicht wordt in de kolom met naam '% vergoeding t.o.v. premie de je betaalt' (kolom O) aangegeven hoe een verzekering jouw dekkingswensen vergoedt ten opzichte van de premie die je betaalt. Deze wensen geef jij aan in het tabblad 'Jouw wensen' door vragen met Ja of Nee te beantwoorden. Deze gegevens worden gebruikt in het vergoedingenoverzicht om te berekenen of hogere premie van een aanvullende verzekering het voor jouw wensen waard is. Sorteer deze kolom met het filterknopje op volgorde van hoog naar laag en de meest prijsbewuste verzekering voor jou komt bovenaan te staan. Doe altijd nog even jouw eigen onderzoek, want het kiezen van een verzekering doe je zeker niet alleen op prijs.</t>
  </si>
  <si>
    <t xml:space="preserve">Vergoeding eigen bijdrage kraamzorg is € 125,- per jaar.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</si>
</sst>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 #,##0.00;&quot;€&quot;\ \-#,##0.00"/>
    <numFmt numFmtId="44" formatCode="_ &quot;€&quot;\ * #,##0.00_ ;_ &quot;€&quot;\ * \-#,##0.00_ ;_ &quot;€&quot;\ * &quot;-&quot;??_ ;_ @_ "/>
    <numFmt numFmtId="164" formatCode="[$€-413]\ #,##0.00;[$€-413]\ \-#,##0.00"/>
    <numFmt numFmtId="165" formatCode="0.0%"/>
    <numFmt numFmtId="166" formatCode="&quot;€&quot;\ #,##0.00"/>
    <numFmt numFmtId="167" formatCode="_ [$€-413]\ * #,##0.00_ ;_ [$€-413]\ * \-#,##0.00_ ;_ [$€-413]\ * &quot;-&quot;??_ ;_ @_ "/>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sz val="11"/>
      <name val="Calibri"/>
      <family val="2"/>
      <scheme val="minor"/>
    </font>
    <font>
      <sz val="11"/>
      <color theme="0"/>
      <name val="Calibri"/>
      <family val="2"/>
      <scheme val="minor"/>
    </font>
    <font>
      <b/>
      <sz val="16"/>
      <color theme="1"/>
      <name val="Garamond"/>
      <family val="1"/>
    </font>
    <font>
      <b/>
      <sz val="26"/>
      <color theme="1"/>
      <name val="Garamond"/>
      <family val="1"/>
    </font>
    <font>
      <i/>
      <sz val="11"/>
      <color rgb="FFFF0000"/>
      <name val="Calibri"/>
      <family val="2"/>
      <scheme val="minor"/>
    </font>
    <font>
      <sz val="16"/>
      <color theme="1"/>
      <name val="Garamond"/>
      <family val="1"/>
    </font>
    <font>
      <u/>
      <sz val="11"/>
      <color theme="10"/>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rgb="FF0070C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76">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center" vertical="top" wrapText="1"/>
    </xf>
    <xf numFmtId="0" fontId="0" fillId="0" borderId="1" xfId="0" applyBorder="1" applyAlignment="1">
      <alignment vertical="top" wrapText="1"/>
    </xf>
    <xf numFmtId="0" fontId="0" fillId="2" borderId="3" xfId="0" applyFill="1" applyBorder="1" applyAlignment="1">
      <alignment horizontal="center" vertical="top" wrapText="1"/>
    </xf>
    <xf numFmtId="0" fontId="0" fillId="0" borderId="1" xfId="0" applyBorder="1" applyAlignment="1">
      <alignment horizontal="left" vertical="top" wrapText="1" indent="1"/>
    </xf>
    <xf numFmtId="0" fontId="0" fillId="0" borderId="1" xfId="0" applyBorder="1" applyAlignment="1">
      <alignment horizontal="left" vertical="top" indent="1"/>
    </xf>
    <xf numFmtId="0" fontId="3" fillId="0" borderId="2" xfId="0" applyFont="1" applyBorder="1" applyAlignment="1">
      <alignment vertical="top" wrapText="1"/>
    </xf>
    <xf numFmtId="164" fontId="0" fillId="0" borderId="0" xfId="0" applyNumberFormat="1" applyAlignment="1">
      <alignment horizontal="center" vertical="top"/>
    </xf>
    <xf numFmtId="164" fontId="0" fillId="0" borderId="1" xfId="0" applyNumberFormat="1" applyBorder="1" applyAlignment="1">
      <alignment horizontal="center" vertical="top" wrapText="1"/>
    </xf>
    <xf numFmtId="164" fontId="0" fillId="0" borderId="1" xfId="0" applyNumberFormat="1" applyBorder="1" applyAlignment="1">
      <alignment horizontal="center" vertical="top"/>
    </xf>
    <xf numFmtId="164" fontId="3" fillId="0" borderId="0" xfId="0" applyNumberFormat="1" applyFont="1" applyAlignment="1">
      <alignment horizontal="center" vertical="top"/>
    </xf>
    <xf numFmtId="164" fontId="3" fillId="2" borderId="5" xfId="0" applyNumberFormat="1" applyFont="1" applyFill="1" applyBorder="1" applyAlignment="1">
      <alignment horizontal="center" vertical="top"/>
    </xf>
    <xf numFmtId="9" fontId="0" fillId="0" borderId="0" xfId="2" applyFont="1" applyAlignment="1">
      <alignment horizontal="center" vertical="top" wrapText="1"/>
    </xf>
    <xf numFmtId="0" fontId="2" fillId="3" borderId="1" xfId="0" applyFont="1" applyFill="1" applyBorder="1" applyAlignment="1">
      <alignment vertical="top" wrapText="1"/>
    </xf>
    <xf numFmtId="0" fontId="2" fillId="3" borderId="1" xfId="0" applyFont="1" applyFill="1" applyBorder="1" applyAlignment="1">
      <alignment horizontal="center" vertical="top" wrapText="1"/>
    </xf>
    <xf numFmtId="9" fontId="2" fillId="3" borderId="1" xfId="2" applyFont="1" applyFill="1" applyBorder="1" applyAlignment="1">
      <alignment horizontal="center" vertical="top" wrapText="1"/>
    </xf>
    <xf numFmtId="9" fontId="0" fillId="0" borderId="1" xfId="2" applyFont="1" applyBorder="1" applyAlignment="1">
      <alignment horizontal="center" vertical="top" wrapText="1"/>
    </xf>
    <xf numFmtId="9" fontId="0" fillId="0" borderId="1" xfId="2" applyNumberFormat="1" applyFont="1" applyBorder="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2" fillId="3" borderId="7" xfId="0" applyFont="1" applyFill="1" applyBorder="1" applyAlignment="1">
      <alignment vertical="top"/>
    </xf>
    <xf numFmtId="0" fontId="2" fillId="3" borderId="8" xfId="0" applyFont="1" applyFill="1" applyBorder="1" applyAlignment="1">
      <alignment vertical="top"/>
    </xf>
    <xf numFmtId="164" fontId="2" fillId="3" borderId="8" xfId="0" applyNumberFormat="1" applyFont="1" applyFill="1" applyBorder="1" applyAlignment="1">
      <alignment horizontal="center" vertical="top"/>
    </xf>
    <xf numFmtId="0" fontId="2" fillId="3" borderId="9" xfId="0" applyFont="1" applyFill="1" applyBorder="1" applyAlignment="1">
      <alignment horizontal="center" vertical="top"/>
    </xf>
    <xf numFmtId="0" fontId="3" fillId="0" borderId="11" xfId="0" applyFont="1" applyBorder="1" applyAlignment="1">
      <alignment vertical="top" wrapText="1"/>
    </xf>
    <xf numFmtId="0" fontId="0" fillId="0" borderId="12" xfId="0" applyBorder="1" applyAlignment="1">
      <alignment horizontal="left" vertical="top" wrapText="1" indent="1"/>
    </xf>
    <xf numFmtId="164" fontId="0" fillId="0" borderId="12" xfId="0" applyNumberFormat="1" applyBorder="1" applyAlignment="1">
      <alignment horizontal="center" vertical="top" wrapText="1"/>
    </xf>
    <xf numFmtId="0" fontId="0" fillId="0" borderId="12" xfId="0" applyBorder="1" applyAlignment="1">
      <alignment vertical="top" wrapText="1"/>
    </xf>
    <xf numFmtId="0" fontId="0" fillId="2" borderId="13" xfId="0" applyFill="1" applyBorder="1" applyAlignment="1">
      <alignment horizontal="center" vertical="top" wrapText="1"/>
    </xf>
    <xf numFmtId="0" fontId="0" fillId="2" borderId="4" xfId="0" applyFill="1" applyBorder="1" applyAlignment="1">
      <alignment vertical="top"/>
    </xf>
    <xf numFmtId="0" fontId="4" fillId="2" borderId="4" xfId="0" applyFont="1" applyFill="1" applyBorder="1" applyAlignment="1">
      <alignment vertical="top"/>
    </xf>
    <xf numFmtId="0" fontId="0" fillId="2" borderId="6" xfId="0" applyFill="1" applyBorder="1" applyAlignment="1">
      <alignment horizontal="center" vertical="top"/>
    </xf>
    <xf numFmtId="164" fontId="3" fillId="2" borderId="10" xfId="0" applyNumberFormat="1" applyFont="1" applyFill="1" applyBorder="1" applyAlignment="1">
      <alignment horizontal="center" vertical="top"/>
    </xf>
    <xf numFmtId="164" fontId="3" fillId="2" borderId="6" xfId="0" applyNumberFormat="1" applyFont="1" applyFill="1" applyBorder="1" applyAlignment="1">
      <alignment horizontal="right" vertical="top" indent="1"/>
    </xf>
    <xf numFmtId="0" fontId="3" fillId="0" borderId="0" xfId="0" applyFont="1" applyAlignment="1">
      <alignment horizontal="right" vertical="top" indent="1"/>
    </xf>
    <xf numFmtId="0" fontId="0" fillId="0" borderId="1" xfId="0" applyFill="1" applyBorder="1" applyAlignment="1">
      <alignment vertical="top" wrapText="1"/>
    </xf>
    <xf numFmtId="164" fontId="0" fillId="0" borderId="1" xfId="0" applyNumberFormat="1" applyFill="1" applyBorder="1" applyAlignment="1">
      <alignment horizontal="center" vertical="top" wrapText="1"/>
    </xf>
    <xf numFmtId="9" fontId="0" fillId="0" borderId="1" xfId="2" applyFont="1" applyFill="1" applyBorder="1" applyAlignment="1">
      <alignment horizontal="center" vertical="top" wrapText="1"/>
    </xf>
    <xf numFmtId="9" fontId="0" fillId="0" borderId="1" xfId="2" applyNumberFormat="1" applyFont="1" applyFill="1" applyBorder="1" applyAlignment="1">
      <alignment horizontal="center" vertical="top" wrapText="1"/>
    </xf>
    <xf numFmtId="9" fontId="5" fillId="0" borderId="1" xfId="2" applyFont="1" applyFill="1" applyBorder="1" applyAlignment="1">
      <alignment horizontal="center" vertical="top" wrapText="1"/>
    </xf>
    <xf numFmtId="9" fontId="5" fillId="0" borderId="1" xfId="2" applyNumberFormat="1" applyFont="1" applyFill="1" applyBorder="1" applyAlignment="1">
      <alignment horizontal="center" vertical="top" wrapText="1"/>
    </xf>
    <xf numFmtId="166" fontId="0" fillId="0" borderId="1" xfId="0" applyNumberFormat="1" applyBorder="1" applyAlignment="1">
      <alignment horizontal="center" vertical="top" wrapText="1"/>
    </xf>
    <xf numFmtId="166" fontId="0" fillId="0" borderId="1" xfId="0" applyNumberFormat="1" applyFill="1" applyBorder="1" applyAlignment="1">
      <alignment horizontal="center" vertical="top" wrapText="1"/>
    </xf>
    <xf numFmtId="167" fontId="0" fillId="0" borderId="1" xfId="0" applyNumberFormat="1" applyBorder="1" applyAlignment="1">
      <alignment horizontal="center" vertical="top" wrapText="1"/>
    </xf>
    <xf numFmtId="167" fontId="0" fillId="0" borderId="1" xfId="0" applyNumberFormat="1" applyFill="1" applyBorder="1" applyAlignment="1">
      <alignment horizontal="center" vertical="top" wrapText="1"/>
    </xf>
    <xf numFmtId="167" fontId="5" fillId="0" borderId="1" xfId="0" applyNumberFormat="1" applyFont="1" applyFill="1" applyBorder="1" applyAlignment="1">
      <alignment horizontal="center" vertical="top" wrapText="1"/>
    </xf>
    <xf numFmtId="166" fontId="5" fillId="0" borderId="1" xfId="0" applyNumberFormat="1" applyFont="1" applyFill="1" applyBorder="1" applyAlignment="1">
      <alignment horizontal="center" vertical="top" wrapText="1"/>
    </xf>
    <xf numFmtId="7" fontId="5" fillId="0" borderId="1" xfId="1" applyNumberFormat="1" applyFont="1" applyFill="1" applyBorder="1" applyAlignment="1">
      <alignment horizontal="center" vertical="top" wrapText="1"/>
    </xf>
    <xf numFmtId="7" fontId="0" fillId="0" borderId="1" xfId="1" applyNumberFormat="1" applyFont="1" applyFill="1" applyBorder="1" applyAlignment="1">
      <alignment horizontal="center" vertical="top" wrapText="1"/>
    </xf>
    <xf numFmtId="9" fontId="6" fillId="0" borderId="0" xfId="2" applyFont="1" applyAlignment="1">
      <alignment horizontal="center" vertical="top" wrapText="1"/>
    </xf>
    <xf numFmtId="7" fontId="6" fillId="0" borderId="0" xfId="1" applyNumberFormat="1" applyFont="1" applyAlignment="1">
      <alignment vertical="top" wrapText="1"/>
    </xf>
    <xf numFmtId="9" fontId="6" fillId="0" borderId="0" xfId="2" applyNumberFormat="1" applyFont="1" applyAlignment="1">
      <alignment vertical="top" wrapText="1"/>
    </xf>
    <xf numFmtId="0" fontId="7" fillId="0" borderId="0" xfId="0" applyFont="1" applyAlignment="1">
      <alignment vertical="top"/>
    </xf>
    <xf numFmtId="0" fontId="0" fillId="0" borderId="0" xfId="0" applyAlignment="1">
      <alignment horizontal="center"/>
    </xf>
    <xf numFmtId="0" fontId="0" fillId="0" borderId="0" xfId="0" applyAlignment="1">
      <alignment horizontal="left" vertical="top" wrapText="1"/>
    </xf>
    <xf numFmtId="0" fontId="10" fillId="0" borderId="0" xfId="0" applyFont="1" applyAlignment="1">
      <alignment horizontal="left" vertical="top" wrapText="1"/>
    </xf>
    <xf numFmtId="0" fontId="11" fillId="0" borderId="1" xfId="3" applyFill="1" applyBorder="1" applyAlignment="1">
      <alignment vertical="top" wrapText="1"/>
    </xf>
    <xf numFmtId="4" fontId="2" fillId="3" borderId="1" xfId="0" applyNumberFormat="1" applyFont="1" applyFill="1" applyBorder="1" applyAlignment="1">
      <alignment horizontal="center" vertical="top" wrapText="1"/>
    </xf>
    <xf numFmtId="4" fontId="0" fillId="0" borderId="0" xfId="0" applyNumberFormat="1" applyAlignment="1">
      <alignment horizontal="center" vertical="top" wrapText="1"/>
    </xf>
    <xf numFmtId="7" fontId="2" fillId="3" borderId="1" xfId="1" applyNumberFormat="1" applyFont="1" applyFill="1" applyBorder="1" applyAlignment="1">
      <alignment horizontal="center" vertical="top" wrapText="1"/>
    </xf>
    <xf numFmtId="9" fontId="2" fillId="3" borderId="1" xfId="2" applyNumberFormat="1" applyFont="1" applyFill="1" applyBorder="1" applyAlignment="1">
      <alignment horizontal="center" vertical="top" wrapText="1"/>
    </xf>
    <xf numFmtId="7" fontId="0" fillId="0" borderId="1" xfId="1" applyNumberFormat="1" applyFont="1" applyBorder="1" applyAlignment="1">
      <alignment horizontal="center" vertical="top" wrapText="1"/>
    </xf>
    <xf numFmtId="7" fontId="0" fillId="0" borderId="0" xfId="1" applyNumberFormat="1" applyFont="1" applyAlignment="1">
      <alignment horizontal="center" vertical="top" wrapText="1"/>
    </xf>
    <xf numFmtId="9" fontId="0" fillId="0" borderId="0" xfId="2" applyNumberFormat="1" applyFont="1" applyAlignment="1">
      <alignment horizontal="center" vertical="top" wrapText="1"/>
    </xf>
    <xf numFmtId="0" fontId="2" fillId="3" borderId="1" xfId="0" applyFont="1" applyFill="1" applyBorder="1" applyAlignment="1" applyProtection="1">
      <alignment horizontal="center" vertical="top" wrapText="1"/>
      <protection locked="0"/>
    </xf>
    <xf numFmtId="165" fontId="0" fillId="0" borderId="1" xfId="2" applyNumberFormat="1" applyFont="1" applyBorder="1" applyAlignment="1" applyProtection="1">
      <alignment horizontal="center" vertical="top" wrapText="1"/>
      <protection locked="0"/>
    </xf>
    <xf numFmtId="0" fontId="0" fillId="0" borderId="0" xfId="0" applyAlignment="1">
      <alignment horizontal="left" vertical="top" wrapText="1"/>
    </xf>
    <xf numFmtId="0" fontId="3" fillId="2" borderId="4" xfId="0" applyFont="1" applyFill="1" applyBorder="1" applyAlignment="1">
      <alignment horizontal="right" vertical="top" indent="1"/>
    </xf>
    <xf numFmtId="0" fontId="3" fillId="2" borderId="6" xfId="0" applyFont="1" applyFill="1" applyBorder="1" applyAlignment="1">
      <alignment horizontal="right" vertical="top" indent="1"/>
    </xf>
    <xf numFmtId="0" fontId="3" fillId="2" borderId="4" xfId="0" applyFont="1" applyFill="1" applyBorder="1" applyAlignment="1">
      <alignment horizontal="left" vertical="top"/>
    </xf>
    <xf numFmtId="0" fontId="3" fillId="2" borderId="6" xfId="0" applyFont="1" applyFill="1" applyBorder="1" applyAlignment="1">
      <alignment horizontal="left" vertical="top"/>
    </xf>
    <xf numFmtId="0" fontId="9" fillId="0" borderId="0" xfId="0" applyFont="1" applyAlignment="1">
      <alignment horizontal="center" wrapText="1"/>
    </xf>
    <xf numFmtId="0" fontId="8" fillId="0" borderId="0" xfId="0" applyFont="1" applyAlignment="1">
      <alignment horizontal="center"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awin1.com/awclick.php?gid=321641&amp;mid=8601&amp;awinaffid=681393&amp;linkid=2033167&amp;clickref=orthodontie-overzicht" TargetMode="External"/><Relationship Id="rId2" Type="http://schemas.openxmlformats.org/officeDocument/2006/relationships/image" Target="../media/image1.png"/><Relationship Id="rId1" Type="http://schemas.openxmlformats.org/officeDocument/2006/relationships/hyperlink" Target="https://www.awin1.com/awclick.php?gid=319923&amp;mid=8558&amp;awinaffid=681393&amp;linkid=2020905&amp;clickref=orthodontie-overzicht" TargetMode="External"/><Relationship Id="rId6" Type="http://schemas.openxmlformats.org/officeDocument/2006/relationships/image" Target="../media/image3.png"/><Relationship Id="rId5" Type="http://schemas.openxmlformats.org/officeDocument/2006/relationships/hyperlink" Target="https://www.awin1.com/awclick.php?gid=422570&amp;mid=24344&amp;awinaffid=681393&amp;linkid=2982016&amp;clickref=orthodontie-overzicht" TargetMode="External"/><Relationship Id="rId4" Type="http://schemas.openxmlformats.org/officeDocument/2006/relationships/image" Target="../media/image2.jp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104776</xdr:colOff>
      <xdr:row>3</xdr:row>
      <xdr:rowOff>114300</xdr:rowOff>
    </xdr:from>
    <xdr:to>
      <xdr:col>0</xdr:col>
      <xdr:colOff>2886076</xdr:colOff>
      <xdr:row>7</xdr:row>
      <xdr:rowOff>173895</xdr:rowOff>
    </xdr:to>
    <xdr:pic>
      <xdr:nvPicPr>
        <xdr:cNvPr id="2" name="Picture 1">
          <a:hlinkClick xmlns:r="http://schemas.openxmlformats.org/officeDocument/2006/relationships" r:id="rId1"/>
          <a:extLst>
            <a:ext uri="{FF2B5EF4-FFF2-40B4-BE49-F238E27FC236}">
              <a16:creationId xmlns:a16="http://schemas.microsoft.com/office/drawing/2014/main" id="{6DA5E6F0-754E-48E7-A73D-3E3FEBC057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1" y="8753475"/>
          <a:ext cx="2781300" cy="821595"/>
        </a:xfrm>
        <a:prstGeom prst="rect">
          <a:avLst/>
        </a:prstGeom>
        <a:ln>
          <a:solidFill>
            <a:sysClr val="windowText" lastClr="000000"/>
          </a:solidFill>
        </a:ln>
      </xdr:spPr>
    </xdr:pic>
    <xdr:clientData/>
  </xdr:twoCellAnchor>
  <xdr:twoCellAnchor editAs="oneCell">
    <xdr:from>
      <xdr:col>0</xdr:col>
      <xdr:colOff>4924425</xdr:colOff>
      <xdr:row>3</xdr:row>
      <xdr:rowOff>109537</xdr:rowOff>
    </xdr:from>
    <xdr:to>
      <xdr:col>0</xdr:col>
      <xdr:colOff>7715250</xdr:colOff>
      <xdr:row>7</xdr:row>
      <xdr:rowOff>184785</xdr:rowOff>
    </xdr:to>
    <xdr:pic>
      <xdr:nvPicPr>
        <xdr:cNvPr id="3" name="Picture 2">
          <a:hlinkClick xmlns:r="http://schemas.openxmlformats.org/officeDocument/2006/relationships" r:id="rId3"/>
          <a:extLst>
            <a:ext uri="{FF2B5EF4-FFF2-40B4-BE49-F238E27FC236}">
              <a16:creationId xmlns:a16="http://schemas.microsoft.com/office/drawing/2014/main" id="{3E9EFD16-01FF-492D-BFC6-717AA43E073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924425" y="2795587"/>
          <a:ext cx="2790825" cy="913448"/>
        </a:xfrm>
        <a:prstGeom prst="rect">
          <a:avLst/>
        </a:prstGeom>
        <a:ln>
          <a:solidFill>
            <a:sysClr val="windowText" lastClr="000000"/>
          </a:solidFill>
        </a:ln>
      </xdr:spPr>
    </xdr:pic>
    <xdr:clientData/>
  </xdr:twoCellAnchor>
  <xdr:twoCellAnchor editAs="oneCell">
    <xdr:from>
      <xdr:col>0</xdr:col>
      <xdr:colOff>3105150</xdr:colOff>
      <xdr:row>3</xdr:row>
      <xdr:rowOff>104775</xdr:rowOff>
    </xdr:from>
    <xdr:to>
      <xdr:col>0</xdr:col>
      <xdr:colOff>4781550</xdr:colOff>
      <xdr:row>7</xdr:row>
      <xdr:rowOff>186280</xdr:rowOff>
    </xdr:to>
    <xdr:pic>
      <xdr:nvPicPr>
        <xdr:cNvPr id="4" name="Picture 3">
          <a:hlinkClick xmlns:r="http://schemas.openxmlformats.org/officeDocument/2006/relationships" r:id="rId5"/>
          <a:extLst>
            <a:ext uri="{FF2B5EF4-FFF2-40B4-BE49-F238E27FC236}">
              <a16:creationId xmlns:a16="http://schemas.microsoft.com/office/drawing/2014/main" id="{50D33139-8B22-4F0A-8C1F-BB9A8D49CB16}"/>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105150" y="2790825"/>
          <a:ext cx="1676400" cy="919705"/>
        </a:xfrm>
        <a:prstGeom prst="rect">
          <a:avLst/>
        </a:prstGeom>
        <a:ln>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0</xdr:row>
      <xdr:rowOff>104776</xdr:rowOff>
    </xdr:from>
    <xdr:to>
      <xdr:col>12</xdr:col>
      <xdr:colOff>485774</xdr:colOff>
      <xdr:row>0</xdr:row>
      <xdr:rowOff>590550</xdr:rowOff>
    </xdr:to>
    <xdr:pic>
      <xdr:nvPicPr>
        <xdr:cNvPr id="3" name="Picture 2">
          <a:extLst>
            <a:ext uri="{FF2B5EF4-FFF2-40B4-BE49-F238E27FC236}">
              <a16:creationId xmlns:a16="http://schemas.microsoft.com/office/drawing/2014/main" id="{D1A2A57B-956E-4B0D-BAF7-EB2BCBED12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82526" y="104776"/>
          <a:ext cx="485774" cy="485774"/>
        </a:xfrm>
        <a:prstGeom prst="rect">
          <a:avLst/>
        </a:prstGeom>
      </xdr:spPr>
    </xdr:pic>
    <xdr:clientData/>
  </xdr:twoCellAnchor>
  <xdr:twoCellAnchor editAs="oneCell">
    <xdr:from>
      <xdr:col>10</xdr:col>
      <xdr:colOff>626533</xdr:colOff>
      <xdr:row>0</xdr:row>
      <xdr:rowOff>94191</xdr:rowOff>
    </xdr:from>
    <xdr:to>
      <xdr:col>11</xdr:col>
      <xdr:colOff>656167</xdr:colOff>
      <xdr:row>0</xdr:row>
      <xdr:rowOff>551391</xdr:rowOff>
    </xdr:to>
    <xdr:pic>
      <xdr:nvPicPr>
        <xdr:cNvPr id="5" name="Picture 4">
          <a:extLst>
            <a:ext uri="{FF2B5EF4-FFF2-40B4-BE49-F238E27FC236}">
              <a16:creationId xmlns:a16="http://schemas.microsoft.com/office/drawing/2014/main" id="{9F0EC593-F4C6-4830-A7C0-41E09F5BE2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38366" y="94191"/>
          <a:ext cx="1426634" cy="4572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Iris Newman" id="{EE6549F1-89E0-4AE2-A08E-6D82A6FDC7D0}" userId="Iris Newma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2" dT="2021-12-17T09:36:08.00" personId="{EE6549F1-89E0-4AE2-A08E-6D82A6FDC7D0}" id="{FF6E940B-A771-4014-BF4F-3DBF87629C0C}">
    <text>Om te vergelijken ga ik uit van het gemiddelde bedrag van € 45,- per behandeling en reken ik het bedrag uit n.a.v. het maximale aantal behandelingen en de maximale vergoeding per behandeling.</text>
  </threadedComment>
  <threadedComment ref="W2" dT="2021-12-17T09:36:08.00" personId="{EE6549F1-89E0-4AE2-A08E-6D82A6FDC7D0}" id="{774961F5-A0F0-4014-B18A-38F10A31962B}">
    <text>Om te vergelijken ga ik uit van het gemiddelde bedrag van € 45,- per behandeling en reken ik het bedrag uit n.a.v. het maximale aantal behandelingen en de maximale vergoeding per behandeling.</text>
  </threadedComment>
  <threadedComment ref="AE2" dT="2021-12-17T09:36:08.00" personId="{EE6549F1-89E0-4AE2-A08E-6D82A6FDC7D0}" id="{F4BED563-477D-456F-B678-8B3AA4C39052}">
    <text>Om te vergelijken ga ik uit van het gemiddelde bedrag van € 45,- per behandeling en reken ik het bedrag uit n.a.v. het maximale aantal behandelingen en de maximale vergoeding per behandeling.</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nn.nl/Particulier/Zorgverzekering.htm" TargetMode="External"/><Relationship Id="rId18" Type="http://schemas.openxmlformats.org/officeDocument/2006/relationships/hyperlink" Target="https://www.onvz.nl/" TargetMode="External"/><Relationship Id="rId26" Type="http://schemas.openxmlformats.org/officeDocument/2006/relationships/hyperlink" Target="https://www.stadholland.nl/consumenten" TargetMode="External"/><Relationship Id="rId39" Type="http://schemas.openxmlformats.org/officeDocument/2006/relationships/hyperlink" Target="http://www.vvaa.nl/" TargetMode="External"/><Relationship Id="rId21" Type="http://schemas.openxmlformats.org/officeDocument/2006/relationships/hyperlink" Target="https://www.pnozorg.nl/" TargetMode="External"/><Relationship Id="rId34" Type="http://schemas.openxmlformats.org/officeDocument/2006/relationships/hyperlink" Target="https://www.awin1.com/awclick.php?gid=326767&amp;mid=9846&amp;awinaffid=681393&amp;linkid=2075649&amp;clickref=overzicht-zwanger" TargetMode="External"/><Relationship Id="rId42" Type="http://schemas.openxmlformats.org/officeDocument/2006/relationships/hyperlink" Target="http://www.vvaa.nl/" TargetMode="External"/><Relationship Id="rId47" Type="http://schemas.openxmlformats.org/officeDocument/2006/relationships/hyperlink" Target="http://www.zorgenzekerheid.nl/" TargetMode="External"/><Relationship Id="rId50" Type="http://schemas.openxmlformats.org/officeDocument/2006/relationships/drawing" Target="../drawings/drawing2.xml"/><Relationship Id="rId7" Type="http://schemas.openxmlformats.org/officeDocument/2006/relationships/hyperlink" Target="https://www.intwente.nl/" TargetMode="External"/><Relationship Id="rId2" Type="http://schemas.openxmlformats.org/officeDocument/2006/relationships/hyperlink" Target="https://www.cz.nl/" TargetMode="External"/><Relationship Id="rId16" Type="http://schemas.openxmlformats.org/officeDocument/2006/relationships/hyperlink" Target="https://www.ohra.nl/zorgverzekering" TargetMode="External"/><Relationship Id="rId29" Type="http://schemas.openxmlformats.org/officeDocument/2006/relationships/hyperlink" Target="https://ds1.nl/c/?si=68&amp;li=1448777&amp;wi=343018&amp;ws=overzicht-zwanger" TargetMode="External"/><Relationship Id="rId11" Type="http://schemas.openxmlformats.org/officeDocument/2006/relationships/hyperlink" Target="https://www.menzis.nl/" TargetMode="External"/><Relationship Id="rId24" Type="http://schemas.openxmlformats.org/officeDocument/2006/relationships/hyperlink" Target="https://www.prolife.nl/" TargetMode="External"/><Relationship Id="rId32" Type="http://schemas.openxmlformats.org/officeDocument/2006/relationships/hyperlink" Target="https://www.awin1.com/awclick.php?gid=326767&amp;mid=9846&amp;awinaffid=681393&amp;linkid=2075647&amp;clickref=overzicht-zwanger" TargetMode="External"/><Relationship Id="rId37" Type="http://schemas.openxmlformats.org/officeDocument/2006/relationships/hyperlink" Target="http://www.vgz.nl/" TargetMode="External"/><Relationship Id="rId40" Type="http://schemas.openxmlformats.org/officeDocument/2006/relationships/hyperlink" Target="http://www.vvaa.nl/" TargetMode="External"/><Relationship Id="rId45" Type="http://schemas.openxmlformats.org/officeDocument/2006/relationships/hyperlink" Target="http://www.zilverenkruis.nl/" TargetMode="External"/><Relationship Id="rId53" Type="http://schemas.microsoft.com/office/2017/10/relationships/threadedComment" Target="../threadedComments/threadedComment1.xml"/><Relationship Id="rId5" Type="http://schemas.openxmlformats.org/officeDocument/2006/relationships/hyperlink" Target="https://www.dsw.nl/" TargetMode="External"/><Relationship Id="rId10" Type="http://schemas.openxmlformats.org/officeDocument/2006/relationships/hyperlink" Target="https://www.iza.nl/" TargetMode="External"/><Relationship Id="rId19" Type="http://schemas.openxmlformats.org/officeDocument/2006/relationships/hyperlink" Target="https://www.pma.info/" TargetMode="External"/><Relationship Id="rId31" Type="http://schemas.openxmlformats.org/officeDocument/2006/relationships/hyperlink" Target="https://www.awin1.com/awclick.php?gid=326767&amp;mid=9846&amp;awinaffid=681393&amp;linkid=2075647&amp;clickref=overzicht-zwanger" TargetMode="External"/><Relationship Id="rId44" Type="http://schemas.openxmlformats.org/officeDocument/2006/relationships/hyperlink" Target="http://www.zekur.nl/" TargetMode="External"/><Relationship Id="rId52" Type="http://schemas.openxmlformats.org/officeDocument/2006/relationships/comments" Target="../comments1.xml"/><Relationship Id="rId4" Type="http://schemas.openxmlformats.org/officeDocument/2006/relationships/hyperlink" Target="https://www.dsw.nl/" TargetMode="External"/><Relationship Id="rId9" Type="http://schemas.openxmlformats.org/officeDocument/2006/relationships/hyperlink" Target="https://www.iza.nl/" TargetMode="External"/><Relationship Id="rId14" Type="http://schemas.openxmlformats.org/officeDocument/2006/relationships/hyperlink" Target="https://www.nn.nl/Particulier/Zorgverzekering.htm" TargetMode="External"/><Relationship Id="rId22" Type="http://schemas.openxmlformats.org/officeDocument/2006/relationships/hyperlink" Target="https://www.pnozorg.nl/" TargetMode="External"/><Relationship Id="rId27" Type="http://schemas.openxmlformats.org/officeDocument/2006/relationships/hyperlink" Target="http://www.umczorgverzekering.nl/" TargetMode="External"/><Relationship Id="rId30" Type="http://schemas.openxmlformats.org/officeDocument/2006/relationships/hyperlink" Target="https://ds1.nl/c/?si=68&amp;li=1448777&amp;wi=343018&amp;ws=overzicht-zwanger" TargetMode="External"/><Relationship Id="rId35" Type="http://schemas.openxmlformats.org/officeDocument/2006/relationships/hyperlink" Target="https://www.awin1.com/awclick.php?gid=326767&amp;mid=9846&amp;awinaffid=681393&amp;linkid=2075648&amp;clickref=overzicht-zwanger" TargetMode="External"/><Relationship Id="rId43" Type="http://schemas.openxmlformats.org/officeDocument/2006/relationships/hyperlink" Target="http://www.zekur.nl/" TargetMode="External"/><Relationship Id="rId48" Type="http://schemas.openxmlformats.org/officeDocument/2006/relationships/hyperlink" Target="http://www.zorgenzekerheid.nl/" TargetMode="External"/><Relationship Id="rId8" Type="http://schemas.openxmlformats.org/officeDocument/2006/relationships/hyperlink" Target="https://www.intwente.nl/" TargetMode="External"/><Relationship Id="rId51" Type="http://schemas.openxmlformats.org/officeDocument/2006/relationships/vmlDrawing" Target="../drawings/vmlDrawing1.vml"/><Relationship Id="rId3" Type="http://schemas.openxmlformats.org/officeDocument/2006/relationships/hyperlink" Target="https://www.cz.nl/" TargetMode="External"/><Relationship Id="rId12" Type="http://schemas.openxmlformats.org/officeDocument/2006/relationships/hyperlink" Target="https://www.menzis.nl/" TargetMode="External"/><Relationship Id="rId17" Type="http://schemas.openxmlformats.org/officeDocument/2006/relationships/hyperlink" Target="https://www.onvz.nl/" TargetMode="External"/><Relationship Id="rId25" Type="http://schemas.openxmlformats.org/officeDocument/2006/relationships/hyperlink" Target="https://www.stadholland.nl/consumenten" TargetMode="External"/><Relationship Id="rId33" Type="http://schemas.openxmlformats.org/officeDocument/2006/relationships/hyperlink" Target="https://www.awin1.com/awclick.php?gid=326767&amp;mid=9846&amp;awinaffid=681393&amp;linkid=2075649&amp;clickref=overzicht-zwanger" TargetMode="External"/><Relationship Id="rId38" Type="http://schemas.openxmlformats.org/officeDocument/2006/relationships/hyperlink" Target="http://www.vgz.nl/" TargetMode="External"/><Relationship Id="rId46" Type="http://schemas.openxmlformats.org/officeDocument/2006/relationships/hyperlink" Target="http://www.zilverenkruis.nl/" TargetMode="External"/><Relationship Id="rId20" Type="http://schemas.openxmlformats.org/officeDocument/2006/relationships/hyperlink" Target="https://www.pma.info/" TargetMode="External"/><Relationship Id="rId41" Type="http://schemas.openxmlformats.org/officeDocument/2006/relationships/hyperlink" Target="http://www.vvaa.nl/" TargetMode="External"/><Relationship Id="rId1" Type="http://schemas.openxmlformats.org/officeDocument/2006/relationships/hyperlink" Target="https://www.cz.nl/" TargetMode="External"/><Relationship Id="rId6" Type="http://schemas.openxmlformats.org/officeDocument/2006/relationships/hyperlink" Target="https://www.awin1.com/awclick.php?gid=326842&amp;mid=10830&amp;awinaffid=681393&amp;linkid=2076192&amp;clickref=overzicht-zwanger" TargetMode="External"/><Relationship Id="rId15" Type="http://schemas.openxmlformats.org/officeDocument/2006/relationships/hyperlink" Target="https://www.nn.nl/Particulier/Zorgverzekering.htm" TargetMode="External"/><Relationship Id="rId23" Type="http://schemas.openxmlformats.org/officeDocument/2006/relationships/hyperlink" Target="https://www.prolife.nl/" TargetMode="External"/><Relationship Id="rId28" Type="http://schemas.openxmlformats.org/officeDocument/2006/relationships/hyperlink" Target="http://www.umczorgverzekering.nl/" TargetMode="External"/><Relationship Id="rId36" Type="http://schemas.openxmlformats.org/officeDocument/2006/relationships/hyperlink" Target="https://www.awin1.com/awclick.php?gid=326767&amp;mid=9846&amp;awinaffid=681393&amp;linkid=2075648&amp;clickref=overzicht-zwanger" TargetMode="External"/><Relationship Id="rId4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8362E-3733-4912-A6EF-BDC6C62F8C7F}">
  <dimension ref="A1:K10"/>
  <sheetViews>
    <sheetView showGridLines="0" tabSelected="1" workbookViewId="0">
      <selection activeCell="A16" sqref="A16"/>
    </sheetView>
  </sheetViews>
  <sheetFormatPr defaultRowHeight="15" x14ac:dyDescent="0.25"/>
  <cols>
    <col min="1" max="1" width="129.85546875" customWidth="1"/>
  </cols>
  <sheetData>
    <row r="1" spans="1:11" ht="21" x14ac:dyDescent="0.25">
      <c r="A1" s="55" t="s">
        <v>177</v>
      </c>
      <c r="E1" s="56"/>
      <c r="F1" s="56"/>
      <c r="G1" s="56"/>
      <c r="H1" s="56"/>
      <c r="I1" s="56"/>
      <c r="J1" s="56"/>
      <c r="K1" s="56"/>
    </row>
    <row r="2" spans="1:11" ht="113.25" customHeight="1" x14ac:dyDescent="0.25">
      <c r="A2" s="69" t="s">
        <v>179</v>
      </c>
      <c r="B2" s="69"/>
      <c r="C2" s="69"/>
      <c r="D2" s="69"/>
      <c r="E2" s="69"/>
      <c r="F2" s="69"/>
      <c r="G2" s="69"/>
      <c r="H2" s="69"/>
      <c r="I2" s="69"/>
      <c r="J2" s="69"/>
      <c r="K2" s="69"/>
    </row>
    <row r="3" spans="1:11" ht="21" x14ac:dyDescent="0.25">
      <c r="A3" s="55" t="s">
        <v>178</v>
      </c>
      <c r="B3" s="57"/>
      <c r="C3" s="57"/>
      <c r="D3" s="57"/>
      <c r="E3" s="57"/>
      <c r="F3" s="57"/>
      <c r="G3" s="57"/>
      <c r="H3" s="57"/>
      <c r="I3" s="57"/>
      <c r="J3" s="57"/>
      <c r="K3" s="57"/>
    </row>
    <row r="4" spans="1:11" ht="21" x14ac:dyDescent="0.25">
      <c r="A4" s="58"/>
      <c r="B4" s="57"/>
      <c r="C4" s="57"/>
      <c r="D4" s="57"/>
      <c r="E4" s="57"/>
      <c r="F4" s="57"/>
      <c r="G4" s="57"/>
      <c r="H4" s="57"/>
      <c r="I4" s="57"/>
      <c r="J4" s="57"/>
      <c r="K4" s="57"/>
    </row>
    <row r="10" spans="1:11" ht="61.5" customHeight="1" x14ac:dyDescent="0.25">
      <c r="A10" s="69" t="s">
        <v>180</v>
      </c>
      <c r="B10" s="69"/>
      <c r="C10" s="69"/>
      <c r="D10" s="69"/>
      <c r="E10" s="69"/>
      <c r="F10" s="69"/>
      <c r="G10" s="69"/>
      <c r="H10" s="69"/>
      <c r="I10" s="69"/>
      <c r="J10" s="69"/>
      <c r="K10" s="69"/>
    </row>
  </sheetData>
  <mergeCells count="2">
    <mergeCell ref="A2:K2"/>
    <mergeCell ref="A10:K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0BB7C-BA2E-4683-9CB6-4242FDE0595F}">
  <dimension ref="B1:G15"/>
  <sheetViews>
    <sheetView showGridLines="0" workbookViewId="0">
      <selection activeCell="F10" sqref="F10"/>
    </sheetView>
  </sheetViews>
  <sheetFormatPr defaultRowHeight="15" x14ac:dyDescent="0.25"/>
  <cols>
    <col min="1" max="1" width="3.140625" style="1" customWidth="1"/>
    <col min="2" max="2" width="57" style="1" bestFit="1" customWidth="1"/>
    <col min="3" max="3" width="35.7109375" style="1" bestFit="1" customWidth="1"/>
    <col min="4" max="4" width="10.7109375" style="10" customWidth="1"/>
    <col min="5" max="5" width="85.140625" style="1" customWidth="1"/>
    <col min="6" max="6" width="30.28515625" style="3" bestFit="1" customWidth="1"/>
    <col min="7" max="7" width="6.140625" style="21" customWidth="1"/>
    <col min="8" max="16384" width="9.140625" style="1"/>
  </cols>
  <sheetData>
    <row r="1" spans="2:7" ht="15.75" thickBot="1" x14ac:dyDescent="0.3"/>
    <row r="2" spans="2:7" ht="15.75" thickBot="1" x14ac:dyDescent="0.3">
      <c r="B2" s="23" t="s">
        <v>23</v>
      </c>
      <c r="C2" s="24" t="s">
        <v>24</v>
      </c>
      <c r="D2" s="25" t="s">
        <v>2</v>
      </c>
      <c r="E2" s="24" t="s">
        <v>3</v>
      </c>
      <c r="F2" s="26" t="s">
        <v>20</v>
      </c>
      <c r="G2" s="21" t="s">
        <v>22</v>
      </c>
    </row>
    <row r="3" spans="2:7" s="2" customFormat="1" x14ac:dyDescent="0.25">
      <c r="B3" s="27" t="s">
        <v>0</v>
      </c>
      <c r="C3" s="28" t="s">
        <v>1</v>
      </c>
      <c r="D3" s="29">
        <f>49*4.7</f>
        <v>230.3</v>
      </c>
      <c r="E3" s="30" t="s">
        <v>5</v>
      </c>
      <c r="F3" s="31" t="s">
        <v>21</v>
      </c>
      <c r="G3" s="22">
        <f t="shared" ref="G3:G9" si="0">IF(F3="Ja",D3,0)</f>
        <v>230.3</v>
      </c>
    </row>
    <row r="4" spans="2:7" s="2" customFormat="1" ht="60" x14ac:dyDescent="0.25">
      <c r="B4" s="9" t="s">
        <v>4</v>
      </c>
      <c r="C4" s="7" t="s">
        <v>19</v>
      </c>
      <c r="D4" s="11">
        <v>365</v>
      </c>
      <c r="E4" s="5" t="s">
        <v>6</v>
      </c>
      <c r="F4" s="6" t="s">
        <v>21</v>
      </c>
      <c r="G4" s="22">
        <f t="shared" si="0"/>
        <v>365</v>
      </c>
    </row>
    <row r="5" spans="2:7" ht="45" x14ac:dyDescent="0.25">
      <c r="B5" s="9" t="s">
        <v>7</v>
      </c>
      <c r="C5" s="8" t="s">
        <v>17</v>
      </c>
      <c r="D5" s="12">
        <v>200</v>
      </c>
      <c r="E5" s="5" t="s">
        <v>18</v>
      </c>
      <c r="F5" s="6" t="s">
        <v>21</v>
      </c>
      <c r="G5" s="22">
        <f t="shared" si="0"/>
        <v>200</v>
      </c>
    </row>
    <row r="6" spans="2:7" ht="45" x14ac:dyDescent="0.25">
      <c r="B6" s="9" t="s">
        <v>8</v>
      </c>
      <c r="C6" s="8" t="s">
        <v>16</v>
      </c>
      <c r="D6" s="12">
        <v>35</v>
      </c>
      <c r="E6" s="5" t="s">
        <v>9</v>
      </c>
      <c r="F6" s="6" t="s">
        <v>21</v>
      </c>
      <c r="G6" s="22">
        <f t="shared" si="0"/>
        <v>35</v>
      </c>
    </row>
    <row r="7" spans="2:7" ht="45" x14ac:dyDescent="0.25">
      <c r="B7" s="9" t="s">
        <v>10</v>
      </c>
      <c r="C7" s="8" t="s">
        <v>15</v>
      </c>
      <c r="D7" s="12">
        <v>125</v>
      </c>
      <c r="E7" s="5" t="s">
        <v>11</v>
      </c>
      <c r="F7" s="6" t="s">
        <v>21</v>
      </c>
      <c r="G7" s="22">
        <f t="shared" si="0"/>
        <v>125</v>
      </c>
    </row>
    <row r="8" spans="2:7" ht="45" x14ac:dyDescent="0.25">
      <c r="B8" s="9" t="s">
        <v>12</v>
      </c>
      <c r="C8" s="8" t="s">
        <v>14</v>
      </c>
      <c r="D8" s="12">
        <f>8*45</f>
        <v>360</v>
      </c>
      <c r="E8" s="5" t="s">
        <v>13</v>
      </c>
      <c r="F8" s="6" t="s">
        <v>21</v>
      </c>
      <c r="G8" s="22">
        <f t="shared" si="0"/>
        <v>360</v>
      </c>
    </row>
    <row r="9" spans="2:7" ht="45" x14ac:dyDescent="0.25">
      <c r="B9" s="9" t="s">
        <v>32</v>
      </c>
      <c r="C9" s="8"/>
      <c r="D9" s="12">
        <v>80</v>
      </c>
      <c r="E9" s="5" t="s">
        <v>59</v>
      </c>
      <c r="F9" s="6" t="s">
        <v>21</v>
      </c>
      <c r="G9" s="22">
        <f t="shared" si="0"/>
        <v>80</v>
      </c>
    </row>
    <row r="11" spans="2:7" x14ac:dyDescent="0.25">
      <c r="C11" s="37" t="s">
        <v>26</v>
      </c>
      <c r="D11" s="13">
        <f>SUM(D3:D9)</f>
        <v>1395.3</v>
      </c>
    </row>
    <row r="12" spans="2:7" ht="15.75" thickBot="1" x14ac:dyDescent="0.3"/>
    <row r="13" spans="2:7" ht="15.75" thickBot="1" x14ac:dyDescent="0.3">
      <c r="B13" s="70" t="s">
        <v>25</v>
      </c>
      <c r="C13" s="71"/>
      <c r="D13" s="14">
        <f>SUM(G3:G9)</f>
        <v>1395.3</v>
      </c>
      <c r="E13" s="33" t="s">
        <v>98</v>
      </c>
      <c r="F13" s="34"/>
    </row>
    <row r="14" spans="2:7" ht="15.75" thickBot="1" x14ac:dyDescent="0.3"/>
    <row r="15" spans="2:7" ht="15.75" thickBot="1" x14ac:dyDescent="0.3">
      <c r="B15" s="32"/>
      <c r="C15" s="36" t="s">
        <v>99</v>
      </c>
      <c r="D15" s="35">
        <f>D13/12</f>
        <v>116.27499999999999</v>
      </c>
      <c r="E15" s="72" t="s">
        <v>100</v>
      </c>
      <c r="F15" s="73"/>
    </row>
  </sheetData>
  <mergeCells count="2">
    <mergeCell ref="B13:C13"/>
    <mergeCell ref="E15:F15"/>
  </mergeCells>
  <dataValidations count="1">
    <dataValidation type="list" allowBlank="1" showInputMessage="1" showErrorMessage="1" sqref="F3:F9" xr:uid="{4B80D930-2D87-476C-8E6D-06A0C2D2BF0A}">
      <formula1>"Ja,Nee"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AD89E-FCF6-443E-9420-FBF3F0798E4A}">
  <sheetPr filterMode="1"/>
  <dimension ref="A1:AG91"/>
  <sheetViews>
    <sheetView showGridLines="0" zoomScaleNormal="100" workbookViewId="0">
      <pane ySplit="2" topLeftCell="A58" activePane="bottomLeft" state="frozen"/>
      <selection pane="bottomLeft" activeCell="E58" sqref="E58"/>
    </sheetView>
  </sheetViews>
  <sheetFormatPr defaultRowHeight="15" x14ac:dyDescent="0.25"/>
  <cols>
    <col min="1" max="1" width="16" style="2" customWidth="1"/>
    <col min="2" max="2" width="17.85546875" style="2" bestFit="1" customWidth="1"/>
    <col min="3" max="3" width="20.42578125" style="2" customWidth="1"/>
    <col min="4" max="5" width="12.7109375" style="4" customWidth="1"/>
    <col min="6" max="6" width="12.85546875" style="15" customWidth="1"/>
    <col min="7" max="7" width="18.28515625" style="15" customWidth="1"/>
    <col min="8" max="8" width="16" style="65" customWidth="1"/>
    <col min="9" max="9" width="12.7109375" style="66" bestFit="1" customWidth="1"/>
    <col min="10" max="10" width="14.7109375" style="61" customWidth="1"/>
    <col min="11" max="11" width="21" style="61" customWidth="1"/>
    <col min="12" max="12" width="11.140625" style="61" customWidth="1"/>
    <col min="13" max="13" width="10.42578125" style="61" bestFit="1" customWidth="1"/>
    <col min="14" max="14" width="14.85546875" style="61" customWidth="1"/>
    <col min="15" max="15" width="13" style="4" customWidth="1"/>
    <col min="16" max="16" width="38" style="2" customWidth="1"/>
    <col min="17" max="17" width="3.28515625" style="22" customWidth="1"/>
    <col min="18" max="24" width="9.28515625" style="22" hidden="1" customWidth="1"/>
    <col min="25" max="25" width="0" style="22" hidden="1" customWidth="1"/>
    <col min="26" max="26" width="12.7109375" style="22" hidden="1" customWidth="1"/>
    <col min="27" max="32" width="9.28515625" style="22" hidden="1" customWidth="1"/>
    <col min="33" max="33" width="12.7109375" style="22" hidden="1" customWidth="1"/>
    <col min="34" max="16384" width="9.140625" style="22"/>
  </cols>
  <sheetData>
    <row r="1" spans="1:33" ht="51.75" customHeight="1" x14ac:dyDescent="0.25">
      <c r="A1" s="75" t="s">
        <v>73</v>
      </c>
      <c r="B1" s="75"/>
      <c r="C1" s="75"/>
      <c r="D1" s="75"/>
      <c r="E1" s="75"/>
      <c r="F1" s="75"/>
      <c r="G1" s="75"/>
      <c r="H1" s="75"/>
      <c r="I1" s="75"/>
      <c r="J1" s="75"/>
      <c r="K1" s="75"/>
      <c r="N1" s="74" t="s">
        <v>140</v>
      </c>
      <c r="O1" s="74"/>
      <c r="P1" s="74"/>
    </row>
    <row r="2" spans="1:33" ht="67.5" customHeight="1" x14ac:dyDescent="0.25">
      <c r="A2" s="16" t="s">
        <v>27</v>
      </c>
      <c r="B2" s="16" t="s">
        <v>29</v>
      </c>
      <c r="C2" s="16" t="s">
        <v>74</v>
      </c>
      <c r="D2" s="17" t="s">
        <v>31</v>
      </c>
      <c r="E2" s="17" t="s">
        <v>30</v>
      </c>
      <c r="F2" s="18" t="s">
        <v>0</v>
      </c>
      <c r="G2" s="18" t="s">
        <v>33</v>
      </c>
      <c r="H2" s="62" t="s">
        <v>34</v>
      </c>
      <c r="I2" s="63" t="s">
        <v>8</v>
      </c>
      <c r="J2" s="60" t="s">
        <v>10</v>
      </c>
      <c r="K2" s="60" t="s">
        <v>35</v>
      </c>
      <c r="L2" s="60" t="s">
        <v>32</v>
      </c>
      <c r="M2" s="60" t="s">
        <v>36</v>
      </c>
      <c r="N2" s="60" t="s">
        <v>37</v>
      </c>
      <c r="O2" s="67" t="s">
        <v>60</v>
      </c>
      <c r="P2" s="16" t="s">
        <v>38</v>
      </c>
      <c r="R2" s="52" t="s">
        <v>0</v>
      </c>
      <c r="S2" s="52" t="s">
        <v>33</v>
      </c>
      <c r="T2" s="53" t="s">
        <v>34</v>
      </c>
      <c r="U2" s="54" t="s">
        <v>8</v>
      </c>
      <c r="V2" s="22" t="s">
        <v>10</v>
      </c>
      <c r="W2" s="22" t="s">
        <v>35</v>
      </c>
      <c r="X2" s="22" t="s">
        <v>32</v>
      </c>
      <c r="Z2" s="52" t="s">
        <v>0</v>
      </c>
      <c r="AA2" s="52" t="s">
        <v>33</v>
      </c>
      <c r="AB2" s="53" t="s">
        <v>34</v>
      </c>
      <c r="AC2" s="54" t="s">
        <v>8</v>
      </c>
      <c r="AD2" s="22" t="s">
        <v>10</v>
      </c>
      <c r="AE2" s="22" t="s">
        <v>35</v>
      </c>
      <c r="AF2" s="22" t="s">
        <v>32</v>
      </c>
      <c r="AG2" s="22" t="s">
        <v>58</v>
      </c>
    </row>
    <row r="3" spans="1:33" ht="45" x14ac:dyDescent="0.25">
      <c r="A3" s="59" t="s">
        <v>28</v>
      </c>
      <c r="B3" s="38" t="s">
        <v>39</v>
      </c>
      <c r="C3" s="38" t="s">
        <v>75</v>
      </c>
      <c r="D3" s="47">
        <v>110.4</v>
      </c>
      <c r="E3" s="46">
        <v>35.950000000000003</v>
      </c>
      <c r="F3" s="19">
        <v>1</v>
      </c>
      <c r="G3" s="19">
        <v>1</v>
      </c>
      <c r="H3" s="64">
        <v>200</v>
      </c>
      <c r="I3" s="20">
        <v>0</v>
      </c>
      <c r="J3" s="44">
        <v>200</v>
      </c>
      <c r="K3" s="44">
        <f>12*45</f>
        <v>540</v>
      </c>
      <c r="L3" s="44">
        <v>80</v>
      </c>
      <c r="M3" s="44">
        <f t="shared" ref="M3:M34" si="0">SUM(D3+E3)*12</f>
        <v>1756.2000000000003</v>
      </c>
      <c r="N3" s="44">
        <f t="shared" ref="N3:N34" si="1">AG3</f>
        <v>1360.3</v>
      </c>
      <c r="O3" s="68">
        <f t="shared" ref="O3:O34" si="2">N3/M3</f>
        <v>0.77457009452226389</v>
      </c>
      <c r="P3" s="5"/>
      <c r="R3" s="22">
        <f>'Jouw wensen'!$G$3</f>
        <v>230.3</v>
      </c>
      <c r="S3" s="22">
        <f>'Jouw wensen'!$G$4</f>
        <v>365</v>
      </c>
      <c r="T3" s="22">
        <f>'Jouw wensen'!$G$5</f>
        <v>200</v>
      </c>
      <c r="U3" s="22">
        <f>'Jouw wensen'!$G$6</f>
        <v>35</v>
      </c>
      <c r="V3" s="22">
        <f>'Jouw wensen'!$G$7</f>
        <v>125</v>
      </c>
      <c r="W3" s="22">
        <f>'Jouw wensen'!$G$8</f>
        <v>360</v>
      </c>
      <c r="X3" s="22">
        <f>'Jouw wensen'!$G$9</f>
        <v>80</v>
      </c>
      <c r="Z3" s="22">
        <f t="shared" ref="Z3:Z34" si="3">F3*R3</f>
        <v>230.3</v>
      </c>
      <c r="AA3" s="22">
        <f t="shared" ref="AA3:AA34" si="4">G3*S3</f>
        <v>365</v>
      </c>
      <c r="AB3" s="22">
        <f t="shared" ref="AB3:AB34" si="5">IF(T3&gt;H3,H3,T3)</f>
        <v>200</v>
      </c>
      <c r="AC3" s="22">
        <f t="shared" ref="AC3:AC34" si="6">U3*I3</f>
        <v>0</v>
      </c>
      <c r="AD3" s="22">
        <f t="shared" ref="AD3:AD34" si="7">IF(V3&gt;J3,J3,V3)</f>
        <v>125</v>
      </c>
      <c r="AE3" s="22">
        <f t="shared" ref="AE3:AE34" si="8">IF(W3&gt;K3,K3,W3)</f>
        <v>360</v>
      </c>
      <c r="AF3" s="22">
        <f t="shared" ref="AF3:AF34" si="9">IF(X3&gt;L3,L3,X3)</f>
        <v>80</v>
      </c>
      <c r="AG3" s="22">
        <f t="shared" ref="AG3:AG34" si="10">SUM(Z3:AF3)</f>
        <v>1360.3</v>
      </c>
    </row>
    <row r="4" spans="1:33" ht="30" hidden="1" x14ac:dyDescent="0.25">
      <c r="A4" s="59" t="s">
        <v>97</v>
      </c>
      <c r="B4" s="38" t="s">
        <v>148</v>
      </c>
      <c r="C4" s="38" t="s">
        <v>77</v>
      </c>
      <c r="D4" s="47">
        <v>114.9</v>
      </c>
      <c r="E4" s="47">
        <v>22.6</v>
      </c>
      <c r="F4" s="40">
        <f>125/230.3</f>
        <v>0.54277029960920531</v>
      </c>
      <c r="G4" s="40">
        <v>1</v>
      </c>
      <c r="H4" s="51">
        <v>100</v>
      </c>
      <c r="I4" s="41">
        <v>1</v>
      </c>
      <c r="J4" s="45">
        <v>200</v>
      </c>
      <c r="K4" s="45">
        <f>12*45</f>
        <v>540</v>
      </c>
      <c r="L4" s="45">
        <v>80</v>
      </c>
      <c r="M4" s="45">
        <f t="shared" si="0"/>
        <v>1650</v>
      </c>
      <c r="N4" s="45">
        <f t="shared" si="1"/>
        <v>1190</v>
      </c>
      <c r="O4" s="68">
        <f t="shared" si="2"/>
        <v>0.72121212121212119</v>
      </c>
      <c r="P4" s="5"/>
      <c r="R4" s="22">
        <f>'Jouw wensen'!$G$3</f>
        <v>230.3</v>
      </c>
      <c r="S4" s="22">
        <f>'Jouw wensen'!$G$4</f>
        <v>365</v>
      </c>
      <c r="T4" s="22">
        <f>'Jouw wensen'!$G$5</f>
        <v>200</v>
      </c>
      <c r="U4" s="22">
        <f>'Jouw wensen'!$G$6</f>
        <v>35</v>
      </c>
      <c r="V4" s="22">
        <f>'Jouw wensen'!$G$7</f>
        <v>125</v>
      </c>
      <c r="W4" s="22">
        <f>'Jouw wensen'!$G$8</f>
        <v>360</v>
      </c>
      <c r="X4" s="22">
        <f>'Jouw wensen'!$G$9</f>
        <v>80</v>
      </c>
      <c r="Z4" s="22">
        <f t="shared" si="3"/>
        <v>124.99999999999999</v>
      </c>
      <c r="AA4" s="22">
        <f t="shared" si="4"/>
        <v>365</v>
      </c>
      <c r="AB4" s="22">
        <f t="shared" si="5"/>
        <v>100</v>
      </c>
      <c r="AC4" s="22">
        <f t="shared" si="6"/>
        <v>35</v>
      </c>
      <c r="AD4" s="22">
        <f t="shared" si="7"/>
        <v>125</v>
      </c>
      <c r="AE4" s="22">
        <f t="shared" si="8"/>
        <v>360</v>
      </c>
      <c r="AF4" s="22">
        <f t="shared" si="9"/>
        <v>80</v>
      </c>
      <c r="AG4" s="22">
        <f t="shared" si="10"/>
        <v>1190</v>
      </c>
    </row>
    <row r="5" spans="1:33" ht="30" x14ac:dyDescent="0.25">
      <c r="A5" s="59" t="s">
        <v>97</v>
      </c>
      <c r="B5" s="38" t="s">
        <v>149</v>
      </c>
      <c r="C5" s="38" t="s">
        <v>77</v>
      </c>
      <c r="D5" s="47">
        <v>114.9</v>
      </c>
      <c r="E5" s="47">
        <v>37.01</v>
      </c>
      <c r="F5" s="40">
        <v>1</v>
      </c>
      <c r="G5" s="40">
        <v>1</v>
      </c>
      <c r="H5" s="51">
        <v>100</v>
      </c>
      <c r="I5" s="41">
        <v>1</v>
      </c>
      <c r="J5" s="45">
        <v>200</v>
      </c>
      <c r="K5" s="45">
        <f>24*45</f>
        <v>1080</v>
      </c>
      <c r="L5" s="45">
        <v>80</v>
      </c>
      <c r="M5" s="45">
        <f t="shared" si="0"/>
        <v>1822.92</v>
      </c>
      <c r="N5" s="45">
        <f t="shared" si="1"/>
        <v>1295.3</v>
      </c>
      <c r="O5" s="68">
        <f t="shared" si="2"/>
        <v>0.71056327211287384</v>
      </c>
      <c r="P5" s="5"/>
      <c r="R5" s="22">
        <f>'Jouw wensen'!$G$3</f>
        <v>230.3</v>
      </c>
      <c r="S5" s="22">
        <f>'Jouw wensen'!$G$4</f>
        <v>365</v>
      </c>
      <c r="T5" s="22">
        <f>'Jouw wensen'!$G$5</f>
        <v>200</v>
      </c>
      <c r="U5" s="22">
        <f>'Jouw wensen'!$G$6</f>
        <v>35</v>
      </c>
      <c r="V5" s="22">
        <f>'Jouw wensen'!$G$7</f>
        <v>125</v>
      </c>
      <c r="W5" s="22">
        <f>'Jouw wensen'!$G$8</f>
        <v>360</v>
      </c>
      <c r="X5" s="22">
        <f>'Jouw wensen'!$G$9</f>
        <v>80</v>
      </c>
      <c r="Z5" s="22">
        <f t="shared" si="3"/>
        <v>230.3</v>
      </c>
      <c r="AA5" s="22">
        <f t="shared" si="4"/>
        <v>365</v>
      </c>
      <c r="AB5" s="22">
        <f t="shared" si="5"/>
        <v>100</v>
      </c>
      <c r="AC5" s="22">
        <f t="shared" si="6"/>
        <v>35</v>
      </c>
      <c r="AD5" s="22">
        <f t="shared" si="7"/>
        <v>125</v>
      </c>
      <c r="AE5" s="22">
        <f t="shared" si="8"/>
        <v>360</v>
      </c>
      <c r="AF5" s="22">
        <f t="shared" si="9"/>
        <v>80</v>
      </c>
      <c r="AG5" s="22">
        <f t="shared" si="10"/>
        <v>1295.3</v>
      </c>
    </row>
    <row r="6" spans="1:33" ht="30" x14ac:dyDescent="0.25">
      <c r="A6" s="59" t="s">
        <v>48</v>
      </c>
      <c r="B6" s="38" t="s">
        <v>49</v>
      </c>
      <c r="C6" s="38" t="s">
        <v>77</v>
      </c>
      <c r="D6" s="47">
        <v>114.9</v>
      </c>
      <c r="E6" s="47">
        <v>38.75</v>
      </c>
      <c r="F6" s="40">
        <v>1</v>
      </c>
      <c r="G6" s="40">
        <v>1</v>
      </c>
      <c r="H6" s="39">
        <v>100</v>
      </c>
      <c r="I6" s="41">
        <v>1</v>
      </c>
      <c r="J6" s="45">
        <v>200</v>
      </c>
      <c r="K6" s="45">
        <f>20*45</f>
        <v>900</v>
      </c>
      <c r="L6" s="45">
        <v>80</v>
      </c>
      <c r="M6" s="45">
        <f t="shared" si="0"/>
        <v>1843.8000000000002</v>
      </c>
      <c r="N6" s="45">
        <f t="shared" si="1"/>
        <v>1295.3</v>
      </c>
      <c r="O6" s="68">
        <f t="shared" si="2"/>
        <v>0.7025165419242867</v>
      </c>
      <c r="P6" s="5"/>
      <c r="R6" s="22">
        <f>'Jouw wensen'!$G$3</f>
        <v>230.3</v>
      </c>
      <c r="S6" s="22">
        <f>'Jouw wensen'!$G$4</f>
        <v>365</v>
      </c>
      <c r="T6" s="22">
        <f>'Jouw wensen'!$G$5</f>
        <v>200</v>
      </c>
      <c r="U6" s="22">
        <f>'Jouw wensen'!$G$6</f>
        <v>35</v>
      </c>
      <c r="V6" s="22">
        <f>'Jouw wensen'!$G$7</f>
        <v>125</v>
      </c>
      <c r="W6" s="22">
        <f>'Jouw wensen'!$G$8</f>
        <v>360</v>
      </c>
      <c r="X6" s="22">
        <f>'Jouw wensen'!$G$9</f>
        <v>80</v>
      </c>
      <c r="Z6" s="22">
        <f t="shared" si="3"/>
        <v>230.3</v>
      </c>
      <c r="AA6" s="22">
        <f t="shared" si="4"/>
        <v>365</v>
      </c>
      <c r="AB6" s="22">
        <f t="shared" si="5"/>
        <v>100</v>
      </c>
      <c r="AC6" s="22">
        <f t="shared" si="6"/>
        <v>35</v>
      </c>
      <c r="AD6" s="22">
        <f t="shared" si="7"/>
        <v>125</v>
      </c>
      <c r="AE6" s="22">
        <f t="shared" si="8"/>
        <v>360</v>
      </c>
      <c r="AF6" s="22">
        <f t="shared" si="9"/>
        <v>80</v>
      </c>
      <c r="AG6" s="22">
        <f t="shared" si="10"/>
        <v>1295.3</v>
      </c>
    </row>
    <row r="7" spans="1:33" ht="30" hidden="1" x14ac:dyDescent="0.25">
      <c r="A7" s="59" t="s">
        <v>48</v>
      </c>
      <c r="B7" s="38" t="s">
        <v>50</v>
      </c>
      <c r="C7" s="38" t="s">
        <v>77</v>
      </c>
      <c r="D7" s="47">
        <v>114.9</v>
      </c>
      <c r="E7" s="47">
        <v>26.75</v>
      </c>
      <c r="F7" s="41">
        <f>125/230.35</f>
        <v>0.54265248534838295</v>
      </c>
      <c r="G7" s="40">
        <v>1</v>
      </c>
      <c r="H7" s="39">
        <v>100</v>
      </c>
      <c r="I7" s="41">
        <v>1</v>
      </c>
      <c r="J7" s="45">
        <v>200</v>
      </c>
      <c r="K7" s="45">
        <f>16*45</f>
        <v>720</v>
      </c>
      <c r="L7" s="45">
        <v>80</v>
      </c>
      <c r="M7" s="45">
        <f t="shared" si="0"/>
        <v>1699.8000000000002</v>
      </c>
      <c r="N7" s="45">
        <f t="shared" si="1"/>
        <v>1189.9728673757327</v>
      </c>
      <c r="O7" s="68">
        <f t="shared" si="2"/>
        <v>0.70006640038577039</v>
      </c>
      <c r="P7" s="5" t="s">
        <v>181</v>
      </c>
      <c r="R7" s="22">
        <f>'Jouw wensen'!$G$3</f>
        <v>230.3</v>
      </c>
      <c r="S7" s="22">
        <f>'Jouw wensen'!$G$4</f>
        <v>365</v>
      </c>
      <c r="T7" s="22">
        <f>'Jouw wensen'!$G$5</f>
        <v>200</v>
      </c>
      <c r="U7" s="22">
        <f>'Jouw wensen'!$G$6</f>
        <v>35</v>
      </c>
      <c r="V7" s="22">
        <f>'Jouw wensen'!$G$7</f>
        <v>125</v>
      </c>
      <c r="W7" s="22">
        <f>'Jouw wensen'!$G$8</f>
        <v>360</v>
      </c>
      <c r="X7" s="22">
        <f>'Jouw wensen'!$G$9</f>
        <v>80</v>
      </c>
      <c r="Z7" s="22">
        <f t="shared" si="3"/>
        <v>124.9728673757326</v>
      </c>
      <c r="AA7" s="22">
        <f t="shared" si="4"/>
        <v>365</v>
      </c>
      <c r="AB7" s="22">
        <f t="shared" si="5"/>
        <v>100</v>
      </c>
      <c r="AC7" s="22">
        <f t="shared" si="6"/>
        <v>35</v>
      </c>
      <c r="AD7" s="22">
        <f t="shared" si="7"/>
        <v>125</v>
      </c>
      <c r="AE7" s="22">
        <f t="shared" si="8"/>
        <v>360</v>
      </c>
      <c r="AF7" s="22">
        <f t="shared" si="9"/>
        <v>80</v>
      </c>
      <c r="AG7" s="22">
        <f t="shared" si="10"/>
        <v>1189.9728673757327</v>
      </c>
    </row>
    <row r="8" spans="1:33" ht="45" hidden="1" x14ac:dyDescent="0.25">
      <c r="A8" s="59" t="s">
        <v>89</v>
      </c>
      <c r="B8" s="38" t="s">
        <v>91</v>
      </c>
      <c r="C8" s="38" t="s">
        <v>90</v>
      </c>
      <c r="D8" s="47">
        <v>117.3</v>
      </c>
      <c r="E8" s="47">
        <v>19.95</v>
      </c>
      <c r="F8" s="40">
        <f>125/230.3</f>
        <v>0.54277029960920531</v>
      </c>
      <c r="G8" s="40">
        <v>1</v>
      </c>
      <c r="H8" s="51">
        <v>50</v>
      </c>
      <c r="I8" s="41">
        <v>1</v>
      </c>
      <c r="J8" s="45">
        <v>175</v>
      </c>
      <c r="K8" s="45">
        <f>12*45</f>
        <v>540</v>
      </c>
      <c r="L8" s="45">
        <v>75</v>
      </c>
      <c r="M8" s="45">
        <f t="shared" si="0"/>
        <v>1647</v>
      </c>
      <c r="N8" s="45">
        <f t="shared" si="1"/>
        <v>1135</v>
      </c>
      <c r="O8" s="68">
        <f t="shared" si="2"/>
        <v>0.68913175470552523</v>
      </c>
      <c r="P8" s="5" t="s">
        <v>176</v>
      </c>
      <c r="R8" s="22">
        <f>'Jouw wensen'!$G$3</f>
        <v>230.3</v>
      </c>
      <c r="S8" s="22">
        <f>'Jouw wensen'!$G$4</f>
        <v>365</v>
      </c>
      <c r="T8" s="22">
        <f>'Jouw wensen'!$G$5</f>
        <v>200</v>
      </c>
      <c r="U8" s="22">
        <f>'Jouw wensen'!$G$6</f>
        <v>35</v>
      </c>
      <c r="V8" s="22">
        <f>'Jouw wensen'!$G$7</f>
        <v>125</v>
      </c>
      <c r="W8" s="22">
        <f>'Jouw wensen'!$G$8</f>
        <v>360</v>
      </c>
      <c r="X8" s="22">
        <f>'Jouw wensen'!$G$9</f>
        <v>80</v>
      </c>
      <c r="Z8" s="22">
        <f t="shared" si="3"/>
        <v>124.99999999999999</v>
      </c>
      <c r="AA8" s="22">
        <f t="shared" si="4"/>
        <v>365</v>
      </c>
      <c r="AB8" s="22">
        <f t="shared" si="5"/>
        <v>50</v>
      </c>
      <c r="AC8" s="22">
        <f t="shared" si="6"/>
        <v>35</v>
      </c>
      <c r="AD8" s="22">
        <f t="shared" si="7"/>
        <v>125</v>
      </c>
      <c r="AE8" s="22">
        <f t="shared" si="8"/>
        <v>360</v>
      </c>
      <c r="AF8" s="22">
        <f t="shared" si="9"/>
        <v>75</v>
      </c>
      <c r="AG8" s="22">
        <f t="shared" si="10"/>
        <v>1135</v>
      </c>
    </row>
    <row r="9" spans="1:33" ht="30" hidden="1" x14ac:dyDescent="0.25">
      <c r="A9" s="59" t="s">
        <v>97</v>
      </c>
      <c r="B9" s="38" t="s">
        <v>150</v>
      </c>
      <c r="C9" s="38" t="s">
        <v>75</v>
      </c>
      <c r="D9" s="47">
        <v>126.02</v>
      </c>
      <c r="E9" s="47">
        <v>22.6</v>
      </c>
      <c r="F9" s="40">
        <f>125/230.3</f>
        <v>0.54277029960920531</v>
      </c>
      <c r="G9" s="40">
        <v>1</v>
      </c>
      <c r="H9" s="51">
        <v>100</v>
      </c>
      <c r="I9" s="41">
        <v>1</v>
      </c>
      <c r="J9" s="45">
        <v>200</v>
      </c>
      <c r="K9" s="45">
        <f>12*45</f>
        <v>540</v>
      </c>
      <c r="L9" s="45">
        <v>80</v>
      </c>
      <c r="M9" s="45">
        <f t="shared" si="0"/>
        <v>1783.44</v>
      </c>
      <c r="N9" s="45">
        <f t="shared" si="1"/>
        <v>1190</v>
      </c>
      <c r="O9" s="68">
        <f t="shared" si="2"/>
        <v>0.66724980935719735</v>
      </c>
      <c r="P9" s="5"/>
      <c r="R9" s="22">
        <f>'Jouw wensen'!$G$3</f>
        <v>230.3</v>
      </c>
      <c r="S9" s="22">
        <f>'Jouw wensen'!$G$4</f>
        <v>365</v>
      </c>
      <c r="T9" s="22">
        <f>'Jouw wensen'!$G$5</f>
        <v>200</v>
      </c>
      <c r="U9" s="22">
        <f>'Jouw wensen'!$G$6</f>
        <v>35</v>
      </c>
      <c r="V9" s="22">
        <f>'Jouw wensen'!$G$7</f>
        <v>125</v>
      </c>
      <c r="W9" s="22">
        <f>'Jouw wensen'!$G$8</f>
        <v>360</v>
      </c>
      <c r="X9" s="22">
        <f>'Jouw wensen'!$G$9</f>
        <v>80</v>
      </c>
      <c r="Z9" s="22">
        <f t="shared" si="3"/>
        <v>124.99999999999999</v>
      </c>
      <c r="AA9" s="22">
        <f t="shared" si="4"/>
        <v>365</v>
      </c>
      <c r="AB9" s="22">
        <f t="shared" si="5"/>
        <v>100</v>
      </c>
      <c r="AC9" s="22">
        <f t="shared" si="6"/>
        <v>35</v>
      </c>
      <c r="AD9" s="22">
        <f t="shared" si="7"/>
        <v>125</v>
      </c>
      <c r="AE9" s="22">
        <f t="shared" si="8"/>
        <v>360</v>
      </c>
      <c r="AF9" s="22">
        <f t="shared" si="9"/>
        <v>80</v>
      </c>
      <c r="AG9" s="22">
        <f t="shared" si="10"/>
        <v>1190</v>
      </c>
    </row>
    <row r="10" spans="1:33" ht="30" x14ac:dyDescent="0.25">
      <c r="A10" s="59" t="s">
        <v>97</v>
      </c>
      <c r="B10" s="38" t="s">
        <v>151</v>
      </c>
      <c r="C10" s="38" t="s">
        <v>75</v>
      </c>
      <c r="D10" s="47">
        <v>126.02</v>
      </c>
      <c r="E10" s="47">
        <v>37.01</v>
      </c>
      <c r="F10" s="40">
        <v>1</v>
      </c>
      <c r="G10" s="40">
        <v>1</v>
      </c>
      <c r="H10" s="51">
        <v>100</v>
      </c>
      <c r="I10" s="41">
        <v>1</v>
      </c>
      <c r="J10" s="45">
        <v>200</v>
      </c>
      <c r="K10" s="45">
        <f>24*45</f>
        <v>1080</v>
      </c>
      <c r="L10" s="45">
        <v>80</v>
      </c>
      <c r="M10" s="45">
        <f t="shared" si="0"/>
        <v>1956.3600000000001</v>
      </c>
      <c r="N10" s="45">
        <f t="shared" si="1"/>
        <v>1295.3</v>
      </c>
      <c r="O10" s="68">
        <f t="shared" si="2"/>
        <v>0.66209695557054937</v>
      </c>
      <c r="P10" s="5"/>
      <c r="R10" s="22">
        <f>'Jouw wensen'!$G$3</f>
        <v>230.3</v>
      </c>
      <c r="S10" s="22">
        <f>'Jouw wensen'!$G$4</f>
        <v>365</v>
      </c>
      <c r="T10" s="22">
        <f>'Jouw wensen'!$G$5</f>
        <v>200</v>
      </c>
      <c r="U10" s="22">
        <f>'Jouw wensen'!$G$6</f>
        <v>35</v>
      </c>
      <c r="V10" s="22">
        <f>'Jouw wensen'!$G$7</f>
        <v>125</v>
      </c>
      <c r="W10" s="22">
        <f>'Jouw wensen'!$G$8</f>
        <v>360</v>
      </c>
      <c r="X10" s="22">
        <f>'Jouw wensen'!$G$9</f>
        <v>80</v>
      </c>
      <c r="Z10" s="22">
        <f t="shared" si="3"/>
        <v>230.3</v>
      </c>
      <c r="AA10" s="22">
        <f t="shared" si="4"/>
        <v>365</v>
      </c>
      <c r="AB10" s="22">
        <f t="shared" si="5"/>
        <v>100</v>
      </c>
      <c r="AC10" s="22">
        <f t="shared" si="6"/>
        <v>35</v>
      </c>
      <c r="AD10" s="22">
        <f t="shared" si="7"/>
        <v>125</v>
      </c>
      <c r="AE10" s="22">
        <f t="shared" si="8"/>
        <v>360</v>
      </c>
      <c r="AF10" s="22">
        <f t="shared" si="9"/>
        <v>80</v>
      </c>
      <c r="AG10" s="22">
        <f t="shared" si="10"/>
        <v>1295.3</v>
      </c>
    </row>
    <row r="11" spans="1:33" ht="30" hidden="1" x14ac:dyDescent="0.25">
      <c r="A11" s="59" t="s">
        <v>101</v>
      </c>
      <c r="B11" s="38" t="s">
        <v>131</v>
      </c>
      <c r="C11" s="38" t="s">
        <v>123</v>
      </c>
      <c r="D11" s="47">
        <v>126.15</v>
      </c>
      <c r="E11" s="47">
        <v>23.65</v>
      </c>
      <c r="F11" s="40">
        <f>125/230.3</f>
        <v>0.54277029960920531</v>
      </c>
      <c r="G11" s="40">
        <v>1</v>
      </c>
      <c r="H11" s="51">
        <v>100</v>
      </c>
      <c r="I11" s="41">
        <v>1</v>
      </c>
      <c r="J11" s="45">
        <v>200</v>
      </c>
      <c r="K11" s="45">
        <f>16*45</f>
        <v>720</v>
      </c>
      <c r="L11" s="45">
        <v>80</v>
      </c>
      <c r="M11" s="45">
        <f t="shared" si="0"/>
        <v>1797.6000000000001</v>
      </c>
      <c r="N11" s="45">
        <f t="shared" si="1"/>
        <v>1190</v>
      </c>
      <c r="O11" s="68">
        <f t="shared" si="2"/>
        <v>0.66199376947040489</v>
      </c>
      <c r="P11" s="5"/>
      <c r="R11" s="22">
        <f>'Jouw wensen'!$G$3</f>
        <v>230.3</v>
      </c>
      <c r="S11" s="22">
        <f>'Jouw wensen'!$G$4</f>
        <v>365</v>
      </c>
      <c r="T11" s="22">
        <f>'Jouw wensen'!$G$5</f>
        <v>200</v>
      </c>
      <c r="U11" s="22">
        <f>'Jouw wensen'!$G$6</f>
        <v>35</v>
      </c>
      <c r="V11" s="22">
        <f>'Jouw wensen'!$G$7</f>
        <v>125</v>
      </c>
      <c r="W11" s="22">
        <f>'Jouw wensen'!$G$8</f>
        <v>360</v>
      </c>
      <c r="X11" s="22">
        <f>'Jouw wensen'!$G$9</f>
        <v>80</v>
      </c>
      <c r="Z11" s="22">
        <f t="shared" si="3"/>
        <v>124.99999999999999</v>
      </c>
      <c r="AA11" s="22">
        <f t="shared" si="4"/>
        <v>365</v>
      </c>
      <c r="AB11" s="22">
        <f t="shared" si="5"/>
        <v>100</v>
      </c>
      <c r="AC11" s="22">
        <f t="shared" si="6"/>
        <v>35</v>
      </c>
      <c r="AD11" s="22">
        <f t="shared" si="7"/>
        <v>125</v>
      </c>
      <c r="AE11" s="22">
        <f t="shared" si="8"/>
        <v>360</v>
      </c>
      <c r="AF11" s="22">
        <f t="shared" si="9"/>
        <v>80</v>
      </c>
      <c r="AG11" s="22">
        <f t="shared" si="10"/>
        <v>1190</v>
      </c>
    </row>
    <row r="12" spans="1:33" ht="45" x14ac:dyDescent="0.25">
      <c r="A12" s="59" t="s">
        <v>41</v>
      </c>
      <c r="B12" s="38" t="s">
        <v>42</v>
      </c>
      <c r="C12" s="38" t="s">
        <v>79</v>
      </c>
      <c r="D12" s="47">
        <v>126.59</v>
      </c>
      <c r="E12" s="47">
        <v>20.92</v>
      </c>
      <c r="F12" s="40">
        <v>1</v>
      </c>
      <c r="G12" s="40">
        <v>1</v>
      </c>
      <c r="H12" s="51">
        <v>50</v>
      </c>
      <c r="I12" s="41">
        <v>1</v>
      </c>
      <c r="J12" s="45">
        <v>200</v>
      </c>
      <c r="K12" s="45">
        <f>12*45</f>
        <v>540</v>
      </c>
      <c r="L12" s="49">
        <v>0</v>
      </c>
      <c r="M12" s="45">
        <f t="shared" si="0"/>
        <v>1770.12</v>
      </c>
      <c r="N12" s="45">
        <f t="shared" si="1"/>
        <v>1165.3</v>
      </c>
      <c r="O12" s="68">
        <f t="shared" si="2"/>
        <v>0.65831695026325898</v>
      </c>
      <c r="P12" s="5" t="s">
        <v>64</v>
      </c>
      <c r="R12" s="22">
        <f>'Jouw wensen'!$G$3</f>
        <v>230.3</v>
      </c>
      <c r="S12" s="22">
        <f>'Jouw wensen'!$G$4</f>
        <v>365</v>
      </c>
      <c r="T12" s="22">
        <f>'Jouw wensen'!$G$5</f>
        <v>200</v>
      </c>
      <c r="U12" s="22">
        <f>'Jouw wensen'!$G$6</f>
        <v>35</v>
      </c>
      <c r="V12" s="22">
        <f>'Jouw wensen'!$G$7</f>
        <v>125</v>
      </c>
      <c r="W12" s="22">
        <f>'Jouw wensen'!$G$8</f>
        <v>360</v>
      </c>
      <c r="X12" s="22">
        <f>'Jouw wensen'!$G$9</f>
        <v>80</v>
      </c>
      <c r="Z12" s="22">
        <f t="shared" si="3"/>
        <v>230.3</v>
      </c>
      <c r="AA12" s="22">
        <f t="shared" si="4"/>
        <v>365</v>
      </c>
      <c r="AB12" s="22">
        <f t="shared" si="5"/>
        <v>50</v>
      </c>
      <c r="AC12" s="22">
        <f t="shared" si="6"/>
        <v>35</v>
      </c>
      <c r="AD12" s="22">
        <f t="shared" si="7"/>
        <v>125</v>
      </c>
      <c r="AE12" s="22">
        <f t="shared" si="8"/>
        <v>360</v>
      </c>
      <c r="AF12" s="22">
        <f t="shared" si="9"/>
        <v>0</v>
      </c>
      <c r="AG12" s="22">
        <f t="shared" si="10"/>
        <v>1165.3</v>
      </c>
    </row>
    <row r="13" spans="1:33" ht="30" x14ac:dyDescent="0.25">
      <c r="A13" s="59" t="s">
        <v>28</v>
      </c>
      <c r="B13" s="38" t="s">
        <v>40</v>
      </c>
      <c r="C13" s="38" t="s">
        <v>118</v>
      </c>
      <c r="D13" s="47">
        <v>136.69999999999999</v>
      </c>
      <c r="E13" s="46">
        <v>35.950000000000003</v>
      </c>
      <c r="F13" s="19">
        <v>1</v>
      </c>
      <c r="G13" s="19">
        <v>1</v>
      </c>
      <c r="H13" s="64">
        <v>200</v>
      </c>
      <c r="I13" s="20">
        <v>0</v>
      </c>
      <c r="J13" s="44">
        <v>200</v>
      </c>
      <c r="K13" s="44">
        <f>12*45</f>
        <v>540</v>
      </c>
      <c r="L13" s="44">
        <v>80</v>
      </c>
      <c r="M13" s="44">
        <f t="shared" si="0"/>
        <v>2071.7999999999997</v>
      </c>
      <c r="N13" s="44">
        <f t="shared" si="1"/>
        <v>1360.3</v>
      </c>
      <c r="O13" s="68">
        <f t="shared" si="2"/>
        <v>0.65657882034945469</v>
      </c>
      <c r="P13" s="5"/>
      <c r="R13" s="22">
        <f>'Jouw wensen'!$G$3</f>
        <v>230.3</v>
      </c>
      <c r="S13" s="22">
        <f>'Jouw wensen'!$G$4</f>
        <v>365</v>
      </c>
      <c r="T13" s="22">
        <f>'Jouw wensen'!$G$5</f>
        <v>200</v>
      </c>
      <c r="U13" s="22">
        <f>'Jouw wensen'!$G$6</f>
        <v>35</v>
      </c>
      <c r="V13" s="22">
        <f>'Jouw wensen'!$G$7</f>
        <v>125</v>
      </c>
      <c r="W13" s="22">
        <f>'Jouw wensen'!$G$8</f>
        <v>360</v>
      </c>
      <c r="X13" s="22">
        <f>'Jouw wensen'!$G$9</f>
        <v>80</v>
      </c>
      <c r="Z13" s="22">
        <f t="shared" si="3"/>
        <v>230.3</v>
      </c>
      <c r="AA13" s="22">
        <f t="shared" si="4"/>
        <v>365</v>
      </c>
      <c r="AB13" s="22">
        <f t="shared" si="5"/>
        <v>200</v>
      </c>
      <c r="AC13" s="22">
        <f t="shared" si="6"/>
        <v>0</v>
      </c>
      <c r="AD13" s="22">
        <f t="shared" si="7"/>
        <v>125</v>
      </c>
      <c r="AE13" s="22">
        <f t="shared" si="8"/>
        <v>360</v>
      </c>
      <c r="AF13" s="22">
        <f t="shared" si="9"/>
        <v>80</v>
      </c>
      <c r="AG13" s="22">
        <f t="shared" si="10"/>
        <v>1360.3</v>
      </c>
    </row>
    <row r="14" spans="1:33" ht="45" x14ac:dyDescent="0.25">
      <c r="A14" s="59" t="s">
        <v>89</v>
      </c>
      <c r="B14" s="38" t="s">
        <v>92</v>
      </c>
      <c r="C14" s="38" t="s">
        <v>90</v>
      </c>
      <c r="D14" s="47">
        <v>117.3</v>
      </c>
      <c r="E14" s="47">
        <v>40.75</v>
      </c>
      <c r="F14" s="40">
        <v>1</v>
      </c>
      <c r="G14" s="40">
        <v>1</v>
      </c>
      <c r="H14" s="51">
        <v>50</v>
      </c>
      <c r="I14" s="41">
        <v>1</v>
      </c>
      <c r="J14" s="45">
        <v>175</v>
      </c>
      <c r="K14" s="45">
        <f>27*45</f>
        <v>1215</v>
      </c>
      <c r="L14" s="45">
        <v>75</v>
      </c>
      <c r="M14" s="45">
        <f t="shared" si="0"/>
        <v>1896.6000000000001</v>
      </c>
      <c r="N14" s="45">
        <f t="shared" si="1"/>
        <v>1240.3</v>
      </c>
      <c r="O14" s="68">
        <f t="shared" si="2"/>
        <v>0.65395971738901182</v>
      </c>
      <c r="P14" s="5"/>
      <c r="R14" s="22">
        <f>'Jouw wensen'!$G$3</f>
        <v>230.3</v>
      </c>
      <c r="S14" s="22">
        <f>'Jouw wensen'!$G$4</f>
        <v>365</v>
      </c>
      <c r="T14" s="22">
        <f>'Jouw wensen'!$G$5</f>
        <v>200</v>
      </c>
      <c r="U14" s="22">
        <f>'Jouw wensen'!$G$6</f>
        <v>35</v>
      </c>
      <c r="V14" s="22">
        <f>'Jouw wensen'!$G$7</f>
        <v>125</v>
      </c>
      <c r="W14" s="22">
        <f>'Jouw wensen'!$G$8</f>
        <v>360</v>
      </c>
      <c r="X14" s="22">
        <f>'Jouw wensen'!$G$9</f>
        <v>80</v>
      </c>
      <c r="Z14" s="22">
        <f t="shared" si="3"/>
        <v>230.3</v>
      </c>
      <c r="AA14" s="22">
        <f t="shared" si="4"/>
        <v>365</v>
      </c>
      <c r="AB14" s="22">
        <f t="shared" si="5"/>
        <v>50</v>
      </c>
      <c r="AC14" s="22">
        <f t="shared" si="6"/>
        <v>35</v>
      </c>
      <c r="AD14" s="22">
        <f t="shared" si="7"/>
        <v>125</v>
      </c>
      <c r="AE14" s="22">
        <f t="shared" si="8"/>
        <v>360</v>
      </c>
      <c r="AF14" s="22">
        <f t="shared" si="9"/>
        <v>75</v>
      </c>
      <c r="AG14" s="22">
        <f t="shared" si="10"/>
        <v>1240.3</v>
      </c>
    </row>
    <row r="15" spans="1:33" ht="30" hidden="1" x14ac:dyDescent="0.25">
      <c r="A15" s="59" t="s">
        <v>89</v>
      </c>
      <c r="B15" s="38" t="s">
        <v>94</v>
      </c>
      <c r="C15" s="38" t="s">
        <v>90</v>
      </c>
      <c r="D15" s="47">
        <v>124.9</v>
      </c>
      <c r="E15" s="47">
        <v>19.95</v>
      </c>
      <c r="F15" s="40">
        <f>125/230.3</f>
        <v>0.54277029960920531</v>
      </c>
      <c r="G15" s="40">
        <v>1</v>
      </c>
      <c r="H15" s="51">
        <v>50</v>
      </c>
      <c r="I15" s="41">
        <v>1</v>
      </c>
      <c r="J15" s="45">
        <v>175</v>
      </c>
      <c r="K15" s="45">
        <f>12*45</f>
        <v>540</v>
      </c>
      <c r="L15" s="45">
        <v>75</v>
      </c>
      <c r="M15" s="45">
        <f t="shared" si="0"/>
        <v>1738.1999999999998</v>
      </c>
      <c r="N15" s="45">
        <f t="shared" si="1"/>
        <v>1135</v>
      </c>
      <c r="O15" s="68">
        <f t="shared" si="2"/>
        <v>0.65297434127258092</v>
      </c>
      <c r="P15" s="5" t="s">
        <v>176</v>
      </c>
      <c r="R15" s="22">
        <f>'Jouw wensen'!$G$3</f>
        <v>230.3</v>
      </c>
      <c r="S15" s="22">
        <f>'Jouw wensen'!$G$4</f>
        <v>365</v>
      </c>
      <c r="T15" s="22">
        <f>'Jouw wensen'!$G$5</f>
        <v>200</v>
      </c>
      <c r="U15" s="22">
        <f>'Jouw wensen'!$G$6</f>
        <v>35</v>
      </c>
      <c r="V15" s="22">
        <f>'Jouw wensen'!$G$7</f>
        <v>125</v>
      </c>
      <c r="W15" s="22">
        <f>'Jouw wensen'!$G$8</f>
        <v>360</v>
      </c>
      <c r="X15" s="22">
        <f>'Jouw wensen'!$G$9</f>
        <v>80</v>
      </c>
      <c r="Z15" s="22">
        <f t="shared" si="3"/>
        <v>124.99999999999999</v>
      </c>
      <c r="AA15" s="22">
        <f t="shared" si="4"/>
        <v>365</v>
      </c>
      <c r="AB15" s="22">
        <f t="shared" si="5"/>
        <v>50</v>
      </c>
      <c r="AC15" s="22">
        <f t="shared" si="6"/>
        <v>35</v>
      </c>
      <c r="AD15" s="22">
        <f t="shared" si="7"/>
        <v>125</v>
      </c>
      <c r="AE15" s="22">
        <f t="shared" si="8"/>
        <v>360</v>
      </c>
      <c r="AF15" s="22">
        <f t="shared" si="9"/>
        <v>75</v>
      </c>
      <c r="AG15" s="22">
        <f t="shared" si="10"/>
        <v>1135</v>
      </c>
    </row>
    <row r="16" spans="1:33" ht="30" x14ac:dyDescent="0.25">
      <c r="A16" s="59" t="s">
        <v>101</v>
      </c>
      <c r="B16" s="38" t="s">
        <v>134</v>
      </c>
      <c r="C16" s="38" t="s">
        <v>123</v>
      </c>
      <c r="D16" s="47">
        <v>126.15</v>
      </c>
      <c r="E16" s="47">
        <v>40.5</v>
      </c>
      <c r="F16" s="40">
        <v>1</v>
      </c>
      <c r="G16" s="40">
        <v>1</v>
      </c>
      <c r="H16" s="51">
        <v>100</v>
      </c>
      <c r="I16" s="41">
        <v>1</v>
      </c>
      <c r="J16" s="45">
        <v>200</v>
      </c>
      <c r="K16" s="45">
        <f>20*45</f>
        <v>900</v>
      </c>
      <c r="L16" s="45">
        <v>80</v>
      </c>
      <c r="M16" s="45">
        <f t="shared" si="0"/>
        <v>1999.8000000000002</v>
      </c>
      <c r="N16" s="45">
        <f t="shared" si="1"/>
        <v>1295.3</v>
      </c>
      <c r="O16" s="68">
        <f t="shared" si="2"/>
        <v>0.64771477147714762</v>
      </c>
      <c r="P16" s="5"/>
      <c r="R16" s="22">
        <f>'Jouw wensen'!$G$3</f>
        <v>230.3</v>
      </c>
      <c r="S16" s="22">
        <f>'Jouw wensen'!$G$4</f>
        <v>365</v>
      </c>
      <c r="T16" s="22">
        <f>'Jouw wensen'!$G$5</f>
        <v>200</v>
      </c>
      <c r="U16" s="22">
        <f>'Jouw wensen'!$G$6</f>
        <v>35</v>
      </c>
      <c r="V16" s="22">
        <f>'Jouw wensen'!$G$7</f>
        <v>125</v>
      </c>
      <c r="W16" s="22">
        <f>'Jouw wensen'!$G$8</f>
        <v>360</v>
      </c>
      <c r="X16" s="22">
        <f>'Jouw wensen'!$G$9</f>
        <v>80</v>
      </c>
      <c r="Z16" s="22">
        <f t="shared" si="3"/>
        <v>230.3</v>
      </c>
      <c r="AA16" s="22">
        <f t="shared" si="4"/>
        <v>365</v>
      </c>
      <c r="AB16" s="22">
        <f t="shared" si="5"/>
        <v>100</v>
      </c>
      <c r="AC16" s="22">
        <f t="shared" si="6"/>
        <v>35</v>
      </c>
      <c r="AD16" s="22">
        <f t="shared" si="7"/>
        <v>125</v>
      </c>
      <c r="AE16" s="22">
        <f t="shared" si="8"/>
        <v>360</v>
      </c>
      <c r="AF16" s="22">
        <f t="shared" si="9"/>
        <v>80</v>
      </c>
      <c r="AG16" s="22">
        <f t="shared" si="10"/>
        <v>1295.3</v>
      </c>
    </row>
    <row r="17" spans="1:33" ht="45" hidden="1" x14ac:dyDescent="0.25">
      <c r="A17" s="59" t="s">
        <v>101</v>
      </c>
      <c r="B17" s="38" t="s">
        <v>132</v>
      </c>
      <c r="C17" s="38" t="s">
        <v>124</v>
      </c>
      <c r="D17" s="47">
        <v>132.65</v>
      </c>
      <c r="E17" s="47">
        <v>23.65</v>
      </c>
      <c r="F17" s="40">
        <f>125/230.3</f>
        <v>0.54277029960920531</v>
      </c>
      <c r="G17" s="40">
        <v>1</v>
      </c>
      <c r="H17" s="51">
        <v>100</v>
      </c>
      <c r="I17" s="41">
        <v>1</v>
      </c>
      <c r="J17" s="45">
        <v>200</v>
      </c>
      <c r="K17" s="45">
        <v>720</v>
      </c>
      <c r="L17" s="45">
        <v>80</v>
      </c>
      <c r="M17" s="45">
        <f t="shared" si="0"/>
        <v>1875.6000000000001</v>
      </c>
      <c r="N17" s="45">
        <f t="shared" si="1"/>
        <v>1190</v>
      </c>
      <c r="O17" s="68">
        <f t="shared" si="2"/>
        <v>0.63446363830240982</v>
      </c>
      <c r="P17" s="5"/>
      <c r="R17" s="22">
        <f>'Jouw wensen'!$G$3</f>
        <v>230.3</v>
      </c>
      <c r="S17" s="22">
        <f>'Jouw wensen'!$G$4</f>
        <v>365</v>
      </c>
      <c r="T17" s="22">
        <f>'Jouw wensen'!$G$5</f>
        <v>200</v>
      </c>
      <c r="U17" s="22">
        <f>'Jouw wensen'!$G$6</f>
        <v>35</v>
      </c>
      <c r="V17" s="22">
        <f>'Jouw wensen'!$G$7</f>
        <v>125</v>
      </c>
      <c r="W17" s="22">
        <f>'Jouw wensen'!$G$8</f>
        <v>360</v>
      </c>
      <c r="X17" s="22">
        <f>'Jouw wensen'!$G$9</f>
        <v>80</v>
      </c>
      <c r="Z17" s="22">
        <f t="shared" si="3"/>
        <v>124.99999999999999</v>
      </c>
      <c r="AA17" s="22">
        <f t="shared" si="4"/>
        <v>365</v>
      </c>
      <c r="AB17" s="22">
        <f t="shared" si="5"/>
        <v>100</v>
      </c>
      <c r="AC17" s="22">
        <f t="shared" si="6"/>
        <v>35</v>
      </c>
      <c r="AD17" s="22">
        <f t="shared" si="7"/>
        <v>125</v>
      </c>
      <c r="AE17" s="22">
        <f t="shared" si="8"/>
        <v>360</v>
      </c>
      <c r="AF17" s="22">
        <f t="shared" si="9"/>
        <v>80</v>
      </c>
      <c r="AG17" s="22">
        <f t="shared" si="10"/>
        <v>1190</v>
      </c>
    </row>
    <row r="18" spans="1:33" ht="45" hidden="1" x14ac:dyDescent="0.25">
      <c r="A18" s="59" t="s">
        <v>108</v>
      </c>
      <c r="B18" s="38" t="s">
        <v>109</v>
      </c>
      <c r="C18" s="38" t="s">
        <v>90</v>
      </c>
      <c r="D18" s="47">
        <v>123.45</v>
      </c>
      <c r="E18" s="47">
        <v>20.25</v>
      </c>
      <c r="F18" s="40">
        <f>125/230.3</f>
        <v>0.54277029960920531</v>
      </c>
      <c r="G18" s="40">
        <v>1</v>
      </c>
      <c r="H18" s="51">
        <v>50</v>
      </c>
      <c r="I18" s="41">
        <v>1</v>
      </c>
      <c r="J18" s="45">
        <v>80</v>
      </c>
      <c r="K18" s="45">
        <f>12*48</f>
        <v>576</v>
      </c>
      <c r="L18" s="45">
        <v>75</v>
      </c>
      <c r="M18" s="45">
        <f t="shared" si="0"/>
        <v>1724.3999999999999</v>
      </c>
      <c r="N18" s="45">
        <f t="shared" si="1"/>
        <v>1090</v>
      </c>
      <c r="O18" s="68">
        <f t="shared" si="2"/>
        <v>0.63210392020412898</v>
      </c>
      <c r="P18" s="5" t="s">
        <v>176</v>
      </c>
      <c r="R18" s="22">
        <f>'Jouw wensen'!$G$3</f>
        <v>230.3</v>
      </c>
      <c r="S18" s="22">
        <f>'Jouw wensen'!$G$4</f>
        <v>365</v>
      </c>
      <c r="T18" s="22">
        <f>'Jouw wensen'!$G$5</f>
        <v>200</v>
      </c>
      <c r="U18" s="22">
        <f>'Jouw wensen'!$G$6</f>
        <v>35</v>
      </c>
      <c r="V18" s="22">
        <f>'Jouw wensen'!$G$7</f>
        <v>125</v>
      </c>
      <c r="W18" s="22">
        <f>'Jouw wensen'!$G$8</f>
        <v>360</v>
      </c>
      <c r="X18" s="22">
        <f>'Jouw wensen'!$G$9</f>
        <v>80</v>
      </c>
      <c r="Z18" s="22">
        <f t="shared" si="3"/>
        <v>124.99999999999999</v>
      </c>
      <c r="AA18" s="22">
        <f t="shared" si="4"/>
        <v>365</v>
      </c>
      <c r="AB18" s="22">
        <f t="shared" si="5"/>
        <v>50</v>
      </c>
      <c r="AC18" s="22">
        <f t="shared" si="6"/>
        <v>35</v>
      </c>
      <c r="AD18" s="22">
        <f t="shared" si="7"/>
        <v>80</v>
      </c>
      <c r="AE18" s="22">
        <f t="shared" si="8"/>
        <v>360</v>
      </c>
      <c r="AF18" s="22">
        <f t="shared" si="9"/>
        <v>75</v>
      </c>
      <c r="AG18" s="22">
        <f t="shared" si="10"/>
        <v>1090</v>
      </c>
    </row>
    <row r="19" spans="1:33" ht="30" x14ac:dyDescent="0.25">
      <c r="A19" s="59" t="s">
        <v>48</v>
      </c>
      <c r="B19" s="38" t="s">
        <v>171</v>
      </c>
      <c r="C19" s="38" t="s">
        <v>124</v>
      </c>
      <c r="D19" s="47">
        <v>133</v>
      </c>
      <c r="E19" s="47">
        <v>38.75</v>
      </c>
      <c r="F19" s="40">
        <v>1</v>
      </c>
      <c r="G19" s="40">
        <v>1</v>
      </c>
      <c r="H19" s="39">
        <v>100</v>
      </c>
      <c r="I19" s="41">
        <v>1</v>
      </c>
      <c r="J19" s="45">
        <v>200</v>
      </c>
      <c r="K19" s="45">
        <f>20*45</f>
        <v>900</v>
      </c>
      <c r="L19" s="45">
        <v>80</v>
      </c>
      <c r="M19" s="45">
        <f t="shared" si="0"/>
        <v>2061</v>
      </c>
      <c r="N19" s="45">
        <f t="shared" si="1"/>
        <v>1295.3</v>
      </c>
      <c r="O19" s="68">
        <f t="shared" si="2"/>
        <v>0.62848131974769528</v>
      </c>
      <c r="P19" s="5"/>
      <c r="R19" s="22">
        <f>'Jouw wensen'!$G$3</f>
        <v>230.3</v>
      </c>
      <c r="S19" s="22">
        <f>'Jouw wensen'!$G$4</f>
        <v>365</v>
      </c>
      <c r="T19" s="22">
        <f>'Jouw wensen'!$G$5</f>
        <v>200</v>
      </c>
      <c r="U19" s="22">
        <f>'Jouw wensen'!$G$6</f>
        <v>35</v>
      </c>
      <c r="V19" s="22">
        <f>'Jouw wensen'!$G$7</f>
        <v>125</v>
      </c>
      <c r="W19" s="22">
        <f>'Jouw wensen'!$G$8</f>
        <v>360</v>
      </c>
      <c r="X19" s="22">
        <f>'Jouw wensen'!$G$9</f>
        <v>80</v>
      </c>
      <c r="Z19" s="22">
        <f t="shared" si="3"/>
        <v>230.3</v>
      </c>
      <c r="AA19" s="22">
        <f t="shared" si="4"/>
        <v>365</v>
      </c>
      <c r="AB19" s="22">
        <f t="shared" si="5"/>
        <v>100</v>
      </c>
      <c r="AC19" s="22">
        <f t="shared" si="6"/>
        <v>35</v>
      </c>
      <c r="AD19" s="22">
        <f t="shared" si="7"/>
        <v>125</v>
      </c>
      <c r="AE19" s="22">
        <f t="shared" si="8"/>
        <v>360</v>
      </c>
      <c r="AF19" s="22">
        <f t="shared" si="9"/>
        <v>80</v>
      </c>
      <c r="AG19" s="22">
        <f t="shared" si="10"/>
        <v>1295.3</v>
      </c>
    </row>
    <row r="20" spans="1:33" ht="30" x14ac:dyDescent="0.25">
      <c r="A20" s="59" t="s">
        <v>48</v>
      </c>
      <c r="B20" s="38" t="s">
        <v>172</v>
      </c>
      <c r="C20" s="38" t="s">
        <v>124</v>
      </c>
      <c r="D20" s="47">
        <v>133</v>
      </c>
      <c r="E20" s="47">
        <v>38.75</v>
      </c>
      <c r="F20" s="40">
        <v>1</v>
      </c>
      <c r="G20" s="40">
        <v>1</v>
      </c>
      <c r="H20" s="39">
        <v>100</v>
      </c>
      <c r="I20" s="41">
        <v>1</v>
      </c>
      <c r="J20" s="45">
        <v>200</v>
      </c>
      <c r="K20" s="45">
        <f>20*45</f>
        <v>900</v>
      </c>
      <c r="L20" s="45">
        <v>80</v>
      </c>
      <c r="M20" s="45">
        <f t="shared" si="0"/>
        <v>2061</v>
      </c>
      <c r="N20" s="45">
        <f t="shared" si="1"/>
        <v>1295.3</v>
      </c>
      <c r="O20" s="68">
        <f t="shared" si="2"/>
        <v>0.62848131974769528</v>
      </c>
      <c r="P20" s="5"/>
      <c r="R20" s="22">
        <f>'Jouw wensen'!$G$3</f>
        <v>230.3</v>
      </c>
      <c r="S20" s="22">
        <f>'Jouw wensen'!$G$4</f>
        <v>365</v>
      </c>
      <c r="T20" s="22">
        <f>'Jouw wensen'!$G$5</f>
        <v>200</v>
      </c>
      <c r="U20" s="22">
        <f>'Jouw wensen'!$G$6</f>
        <v>35</v>
      </c>
      <c r="V20" s="22">
        <f>'Jouw wensen'!$G$7</f>
        <v>125</v>
      </c>
      <c r="W20" s="22">
        <f>'Jouw wensen'!$G$8</f>
        <v>360</v>
      </c>
      <c r="X20" s="22">
        <f>'Jouw wensen'!$G$9</f>
        <v>80</v>
      </c>
      <c r="Z20" s="22">
        <f t="shared" si="3"/>
        <v>230.3</v>
      </c>
      <c r="AA20" s="22">
        <f t="shared" si="4"/>
        <v>365</v>
      </c>
      <c r="AB20" s="22">
        <f t="shared" si="5"/>
        <v>100</v>
      </c>
      <c r="AC20" s="22">
        <f t="shared" si="6"/>
        <v>35</v>
      </c>
      <c r="AD20" s="22">
        <f t="shared" si="7"/>
        <v>125</v>
      </c>
      <c r="AE20" s="22">
        <f t="shared" si="8"/>
        <v>360</v>
      </c>
      <c r="AF20" s="22">
        <f t="shared" si="9"/>
        <v>80</v>
      </c>
      <c r="AG20" s="22">
        <f t="shared" si="10"/>
        <v>1295.3</v>
      </c>
    </row>
    <row r="21" spans="1:33" ht="30" hidden="1" x14ac:dyDescent="0.25">
      <c r="A21" s="59" t="s">
        <v>97</v>
      </c>
      <c r="B21" s="38" t="s">
        <v>152</v>
      </c>
      <c r="C21" s="38" t="s">
        <v>118</v>
      </c>
      <c r="D21" s="47">
        <v>135.28</v>
      </c>
      <c r="E21" s="47">
        <v>22.6</v>
      </c>
      <c r="F21" s="40">
        <f>125/230.3</f>
        <v>0.54277029960920531</v>
      </c>
      <c r="G21" s="40">
        <v>1</v>
      </c>
      <c r="H21" s="51">
        <v>100</v>
      </c>
      <c r="I21" s="41">
        <v>1</v>
      </c>
      <c r="J21" s="45">
        <v>200</v>
      </c>
      <c r="K21" s="45">
        <f>12*45</f>
        <v>540</v>
      </c>
      <c r="L21" s="45">
        <v>80</v>
      </c>
      <c r="M21" s="45">
        <f t="shared" si="0"/>
        <v>1894.56</v>
      </c>
      <c r="N21" s="45">
        <f t="shared" si="1"/>
        <v>1190</v>
      </c>
      <c r="O21" s="68">
        <f t="shared" si="2"/>
        <v>0.62811417954564652</v>
      </c>
      <c r="P21" s="5"/>
      <c r="R21" s="22">
        <f>'Jouw wensen'!$G$3</f>
        <v>230.3</v>
      </c>
      <c r="S21" s="22">
        <f>'Jouw wensen'!$G$4</f>
        <v>365</v>
      </c>
      <c r="T21" s="22">
        <f>'Jouw wensen'!$G$5</f>
        <v>200</v>
      </c>
      <c r="U21" s="22">
        <f>'Jouw wensen'!$G$6</f>
        <v>35</v>
      </c>
      <c r="V21" s="22">
        <f>'Jouw wensen'!$G$7</f>
        <v>125</v>
      </c>
      <c r="W21" s="22">
        <f>'Jouw wensen'!$G$8</f>
        <v>360</v>
      </c>
      <c r="X21" s="22">
        <f>'Jouw wensen'!$G$9</f>
        <v>80</v>
      </c>
      <c r="Z21" s="22">
        <f t="shared" si="3"/>
        <v>124.99999999999999</v>
      </c>
      <c r="AA21" s="22">
        <f t="shared" si="4"/>
        <v>365</v>
      </c>
      <c r="AB21" s="22">
        <f t="shared" si="5"/>
        <v>100</v>
      </c>
      <c r="AC21" s="22">
        <f t="shared" si="6"/>
        <v>35</v>
      </c>
      <c r="AD21" s="22">
        <f t="shared" si="7"/>
        <v>125</v>
      </c>
      <c r="AE21" s="22">
        <f t="shared" si="8"/>
        <v>360</v>
      </c>
      <c r="AF21" s="22">
        <f t="shared" si="9"/>
        <v>80</v>
      </c>
      <c r="AG21" s="22">
        <f t="shared" si="10"/>
        <v>1190</v>
      </c>
    </row>
    <row r="22" spans="1:33" ht="30" x14ac:dyDescent="0.25">
      <c r="A22" s="59" t="s">
        <v>97</v>
      </c>
      <c r="B22" s="38" t="s">
        <v>153</v>
      </c>
      <c r="C22" s="38" t="s">
        <v>118</v>
      </c>
      <c r="D22" s="47">
        <v>135.28</v>
      </c>
      <c r="E22" s="47">
        <v>37.01</v>
      </c>
      <c r="F22" s="40">
        <v>1</v>
      </c>
      <c r="G22" s="40">
        <v>1</v>
      </c>
      <c r="H22" s="51">
        <v>100</v>
      </c>
      <c r="I22" s="41">
        <v>1</v>
      </c>
      <c r="J22" s="45">
        <v>200</v>
      </c>
      <c r="K22" s="45">
        <f>24*45</f>
        <v>1080</v>
      </c>
      <c r="L22" s="45">
        <v>80</v>
      </c>
      <c r="M22" s="45">
        <f t="shared" si="0"/>
        <v>2067.48</v>
      </c>
      <c r="N22" s="45">
        <f t="shared" si="1"/>
        <v>1295.3</v>
      </c>
      <c r="O22" s="68">
        <f t="shared" si="2"/>
        <v>0.62651150192504879</v>
      </c>
      <c r="P22" s="5"/>
      <c r="R22" s="22">
        <f>'Jouw wensen'!$G$3</f>
        <v>230.3</v>
      </c>
      <c r="S22" s="22">
        <f>'Jouw wensen'!$G$4</f>
        <v>365</v>
      </c>
      <c r="T22" s="22">
        <f>'Jouw wensen'!$G$5</f>
        <v>200</v>
      </c>
      <c r="U22" s="22">
        <f>'Jouw wensen'!$G$6</f>
        <v>35</v>
      </c>
      <c r="V22" s="22">
        <f>'Jouw wensen'!$G$7</f>
        <v>125</v>
      </c>
      <c r="W22" s="22">
        <f>'Jouw wensen'!$G$8</f>
        <v>360</v>
      </c>
      <c r="X22" s="22">
        <f>'Jouw wensen'!$G$9</f>
        <v>80</v>
      </c>
      <c r="Z22" s="22">
        <f t="shared" si="3"/>
        <v>230.3</v>
      </c>
      <c r="AA22" s="22">
        <f t="shared" si="4"/>
        <v>365</v>
      </c>
      <c r="AB22" s="22">
        <f t="shared" si="5"/>
        <v>100</v>
      </c>
      <c r="AC22" s="22">
        <f t="shared" si="6"/>
        <v>35</v>
      </c>
      <c r="AD22" s="22">
        <f t="shared" si="7"/>
        <v>125</v>
      </c>
      <c r="AE22" s="22">
        <f t="shared" si="8"/>
        <v>360</v>
      </c>
      <c r="AF22" s="22">
        <f t="shared" si="9"/>
        <v>80</v>
      </c>
      <c r="AG22" s="22">
        <f t="shared" si="10"/>
        <v>1295.3</v>
      </c>
    </row>
    <row r="23" spans="1:33" ht="75" x14ac:dyDescent="0.25">
      <c r="A23" s="59" t="s">
        <v>82</v>
      </c>
      <c r="B23" s="38" t="s">
        <v>84</v>
      </c>
      <c r="C23" s="38" t="s">
        <v>118</v>
      </c>
      <c r="D23" s="47">
        <v>127.77</v>
      </c>
      <c r="E23" s="48">
        <v>40.700000000000003</v>
      </c>
      <c r="F23" s="42">
        <v>1</v>
      </c>
      <c r="G23" s="42">
        <v>1</v>
      </c>
      <c r="H23" s="50">
        <v>150</v>
      </c>
      <c r="I23" s="43">
        <v>1</v>
      </c>
      <c r="J23" s="49">
        <v>300</v>
      </c>
      <c r="K23" s="49">
        <f>30*45</f>
        <v>1350</v>
      </c>
      <c r="L23" s="45">
        <v>0</v>
      </c>
      <c r="M23" s="45">
        <f t="shared" si="0"/>
        <v>2021.6399999999999</v>
      </c>
      <c r="N23" s="45">
        <f t="shared" si="1"/>
        <v>1265.3</v>
      </c>
      <c r="O23" s="68">
        <f t="shared" si="2"/>
        <v>0.62587800003957184</v>
      </c>
      <c r="P23" s="5" t="s">
        <v>69</v>
      </c>
      <c r="R23" s="22">
        <f>'Jouw wensen'!$G$3</f>
        <v>230.3</v>
      </c>
      <c r="S23" s="22">
        <f>'Jouw wensen'!$G$4</f>
        <v>365</v>
      </c>
      <c r="T23" s="22">
        <f>'Jouw wensen'!$G$5</f>
        <v>200</v>
      </c>
      <c r="U23" s="22">
        <f>'Jouw wensen'!$G$6</f>
        <v>35</v>
      </c>
      <c r="V23" s="22">
        <f>'Jouw wensen'!$G$7</f>
        <v>125</v>
      </c>
      <c r="W23" s="22">
        <f>'Jouw wensen'!$G$8</f>
        <v>360</v>
      </c>
      <c r="X23" s="22">
        <f>'Jouw wensen'!$G$9</f>
        <v>80</v>
      </c>
      <c r="Z23" s="22">
        <f t="shared" si="3"/>
        <v>230.3</v>
      </c>
      <c r="AA23" s="22">
        <f t="shared" si="4"/>
        <v>365</v>
      </c>
      <c r="AB23" s="22">
        <f t="shared" si="5"/>
        <v>150</v>
      </c>
      <c r="AC23" s="22">
        <f t="shared" si="6"/>
        <v>35</v>
      </c>
      <c r="AD23" s="22">
        <f t="shared" si="7"/>
        <v>125</v>
      </c>
      <c r="AE23" s="22">
        <f t="shared" si="8"/>
        <v>360</v>
      </c>
      <c r="AF23" s="22">
        <f t="shared" si="9"/>
        <v>0</v>
      </c>
      <c r="AG23" s="22">
        <f t="shared" si="10"/>
        <v>1265.3</v>
      </c>
    </row>
    <row r="24" spans="1:33" ht="30" x14ac:dyDescent="0.25">
      <c r="A24" s="59" t="s">
        <v>89</v>
      </c>
      <c r="B24" s="38" t="s">
        <v>95</v>
      </c>
      <c r="C24" s="38" t="s">
        <v>90</v>
      </c>
      <c r="D24" s="47">
        <v>124.9</v>
      </c>
      <c r="E24" s="47">
        <v>40.75</v>
      </c>
      <c r="F24" s="40">
        <v>1</v>
      </c>
      <c r="G24" s="40">
        <v>1</v>
      </c>
      <c r="H24" s="51">
        <v>50</v>
      </c>
      <c r="I24" s="41">
        <v>1</v>
      </c>
      <c r="J24" s="45">
        <v>175</v>
      </c>
      <c r="K24" s="45">
        <f>27*45</f>
        <v>1215</v>
      </c>
      <c r="L24" s="45">
        <v>75</v>
      </c>
      <c r="M24" s="45">
        <f t="shared" si="0"/>
        <v>1987.8000000000002</v>
      </c>
      <c r="N24" s="45">
        <f t="shared" si="1"/>
        <v>1240.3</v>
      </c>
      <c r="O24" s="68">
        <f t="shared" si="2"/>
        <v>0.62395613240768677</v>
      </c>
      <c r="P24" s="5"/>
      <c r="R24" s="22">
        <f>'Jouw wensen'!$G$3</f>
        <v>230.3</v>
      </c>
      <c r="S24" s="22">
        <f>'Jouw wensen'!$G$4</f>
        <v>365</v>
      </c>
      <c r="T24" s="22">
        <f>'Jouw wensen'!$G$5</f>
        <v>200</v>
      </c>
      <c r="U24" s="22">
        <f>'Jouw wensen'!$G$6</f>
        <v>35</v>
      </c>
      <c r="V24" s="22">
        <f>'Jouw wensen'!$G$7</f>
        <v>125</v>
      </c>
      <c r="W24" s="22">
        <f>'Jouw wensen'!$G$8</f>
        <v>360</v>
      </c>
      <c r="X24" s="22">
        <f>'Jouw wensen'!$G$9</f>
        <v>80</v>
      </c>
      <c r="Z24" s="22">
        <f t="shared" si="3"/>
        <v>230.3</v>
      </c>
      <c r="AA24" s="22">
        <f t="shared" si="4"/>
        <v>365</v>
      </c>
      <c r="AB24" s="22">
        <f t="shared" si="5"/>
        <v>50</v>
      </c>
      <c r="AC24" s="22">
        <f t="shared" si="6"/>
        <v>35</v>
      </c>
      <c r="AD24" s="22">
        <f t="shared" si="7"/>
        <v>125</v>
      </c>
      <c r="AE24" s="22">
        <f t="shared" si="8"/>
        <v>360</v>
      </c>
      <c r="AF24" s="22">
        <f t="shared" si="9"/>
        <v>75</v>
      </c>
      <c r="AG24" s="22">
        <f t="shared" si="10"/>
        <v>1240.3</v>
      </c>
    </row>
    <row r="25" spans="1:33" ht="60" x14ac:dyDescent="0.25">
      <c r="A25" s="59" t="s">
        <v>61</v>
      </c>
      <c r="B25" s="38" t="s">
        <v>62</v>
      </c>
      <c r="C25" s="38" t="s">
        <v>79</v>
      </c>
      <c r="D25" s="47">
        <v>133.25</v>
      </c>
      <c r="E25" s="47">
        <v>22.5</v>
      </c>
      <c r="F25" s="40">
        <v>1</v>
      </c>
      <c r="G25" s="40">
        <v>1</v>
      </c>
      <c r="H25" s="51">
        <v>50</v>
      </c>
      <c r="I25" s="41">
        <v>1</v>
      </c>
      <c r="J25" s="45">
        <v>200</v>
      </c>
      <c r="K25" s="45">
        <f>12*45</f>
        <v>540</v>
      </c>
      <c r="L25" s="49">
        <v>0</v>
      </c>
      <c r="M25" s="45">
        <f t="shared" si="0"/>
        <v>1869</v>
      </c>
      <c r="N25" s="45">
        <f t="shared" si="1"/>
        <v>1165.3</v>
      </c>
      <c r="O25" s="68">
        <f t="shared" si="2"/>
        <v>0.62348849652220439</v>
      </c>
      <c r="P25" s="5" t="s">
        <v>78</v>
      </c>
      <c r="R25" s="22">
        <f>'Jouw wensen'!$G$3</f>
        <v>230.3</v>
      </c>
      <c r="S25" s="22">
        <f>'Jouw wensen'!$G$4</f>
        <v>365</v>
      </c>
      <c r="T25" s="22">
        <f>'Jouw wensen'!$G$5</f>
        <v>200</v>
      </c>
      <c r="U25" s="22">
        <f>'Jouw wensen'!$G$6</f>
        <v>35</v>
      </c>
      <c r="V25" s="22">
        <f>'Jouw wensen'!$G$7</f>
        <v>125</v>
      </c>
      <c r="W25" s="22">
        <f>'Jouw wensen'!$G$8</f>
        <v>360</v>
      </c>
      <c r="X25" s="22">
        <f>'Jouw wensen'!$G$9</f>
        <v>80</v>
      </c>
      <c r="Z25" s="22">
        <f t="shared" si="3"/>
        <v>230.3</v>
      </c>
      <c r="AA25" s="22">
        <f t="shared" si="4"/>
        <v>365</v>
      </c>
      <c r="AB25" s="22">
        <f t="shared" si="5"/>
        <v>50</v>
      </c>
      <c r="AC25" s="22">
        <f t="shared" si="6"/>
        <v>35</v>
      </c>
      <c r="AD25" s="22">
        <f t="shared" si="7"/>
        <v>125</v>
      </c>
      <c r="AE25" s="22">
        <f t="shared" si="8"/>
        <v>360</v>
      </c>
      <c r="AF25" s="22">
        <f t="shared" si="9"/>
        <v>0</v>
      </c>
      <c r="AG25" s="22">
        <f t="shared" si="10"/>
        <v>1165.3</v>
      </c>
    </row>
    <row r="26" spans="1:33" ht="30" x14ac:dyDescent="0.25">
      <c r="A26" s="59" t="s">
        <v>101</v>
      </c>
      <c r="B26" s="38" t="s">
        <v>135</v>
      </c>
      <c r="C26" s="38" t="s">
        <v>124</v>
      </c>
      <c r="D26" s="47">
        <v>132.65</v>
      </c>
      <c r="E26" s="47">
        <v>40.5</v>
      </c>
      <c r="F26" s="40">
        <v>1</v>
      </c>
      <c r="G26" s="40">
        <v>1</v>
      </c>
      <c r="H26" s="51">
        <v>100</v>
      </c>
      <c r="I26" s="41">
        <v>1</v>
      </c>
      <c r="J26" s="45">
        <v>200</v>
      </c>
      <c r="K26" s="45">
        <f>20*45</f>
        <v>900</v>
      </c>
      <c r="L26" s="45">
        <v>80</v>
      </c>
      <c r="M26" s="45">
        <f t="shared" si="0"/>
        <v>2077.8000000000002</v>
      </c>
      <c r="N26" s="45">
        <f t="shared" si="1"/>
        <v>1295.3</v>
      </c>
      <c r="O26" s="68">
        <f t="shared" si="2"/>
        <v>0.62339974973529688</v>
      </c>
      <c r="P26" s="5"/>
      <c r="R26" s="22">
        <f>'Jouw wensen'!$G$3</f>
        <v>230.3</v>
      </c>
      <c r="S26" s="22">
        <f>'Jouw wensen'!$G$4</f>
        <v>365</v>
      </c>
      <c r="T26" s="22">
        <f>'Jouw wensen'!$G$5</f>
        <v>200</v>
      </c>
      <c r="U26" s="22">
        <f>'Jouw wensen'!$G$6</f>
        <v>35</v>
      </c>
      <c r="V26" s="22">
        <f>'Jouw wensen'!$G$7</f>
        <v>125</v>
      </c>
      <c r="W26" s="22">
        <f>'Jouw wensen'!$G$8</f>
        <v>360</v>
      </c>
      <c r="X26" s="22">
        <f>'Jouw wensen'!$G$9</f>
        <v>80</v>
      </c>
      <c r="Z26" s="22">
        <f t="shared" si="3"/>
        <v>230.3</v>
      </c>
      <c r="AA26" s="22">
        <f t="shared" si="4"/>
        <v>365</v>
      </c>
      <c r="AB26" s="22">
        <f t="shared" si="5"/>
        <v>100</v>
      </c>
      <c r="AC26" s="22">
        <f t="shared" si="6"/>
        <v>35</v>
      </c>
      <c r="AD26" s="22">
        <f t="shared" si="7"/>
        <v>125</v>
      </c>
      <c r="AE26" s="22">
        <f t="shared" si="8"/>
        <v>360</v>
      </c>
      <c r="AF26" s="22">
        <f t="shared" si="9"/>
        <v>80</v>
      </c>
      <c r="AG26" s="22">
        <f t="shared" si="10"/>
        <v>1295.3</v>
      </c>
    </row>
    <row r="27" spans="1:33" ht="30" x14ac:dyDescent="0.25">
      <c r="A27" s="59" t="s">
        <v>105</v>
      </c>
      <c r="B27" s="38" t="s">
        <v>144</v>
      </c>
      <c r="C27" s="38" t="s">
        <v>118</v>
      </c>
      <c r="D27" s="47">
        <v>129.44999999999999</v>
      </c>
      <c r="E27" s="47">
        <v>46.5</v>
      </c>
      <c r="F27" s="40">
        <v>1</v>
      </c>
      <c r="G27" s="40">
        <v>1</v>
      </c>
      <c r="H27" s="51">
        <v>200</v>
      </c>
      <c r="I27" s="41">
        <v>1</v>
      </c>
      <c r="J27" s="45">
        <v>200</v>
      </c>
      <c r="K27" s="45">
        <f>18*45</f>
        <v>810</v>
      </c>
      <c r="L27" s="45">
        <v>0</v>
      </c>
      <c r="M27" s="45">
        <f t="shared" si="0"/>
        <v>2111.3999999999996</v>
      </c>
      <c r="N27" s="45">
        <f t="shared" si="1"/>
        <v>1315.3</v>
      </c>
      <c r="O27" s="68">
        <f t="shared" si="2"/>
        <v>0.62295159609737627</v>
      </c>
      <c r="P27" s="5"/>
      <c r="R27" s="22">
        <f>'Jouw wensen'!$G$3</f>
        <v>230.3</v>
      </c>
      <c r="S27" s="22">
        <f>'Jouw wensen'!$G$4</f>
        <v>365</v>
      </c>
      <c r="T27" s="22">
        <f>'Jouw wensen'!$G$5</f>
        <v>200</v>
      </c>
      <c r="U27" s="22">
        <f>'Jouw wensen'!$G$6</f>
        <v>35</v>
      </c>
      <c r="V27" s="22">
        <f>'Jouw wensen'!$G$7</f>
        <v>125</v>
      </c>
      <c r="W27" s="22">
        <f>'Jouw wensen'!$G$8</f>
        <v>360</v>
      </c>
      <c r="X27" s="22">
        <f>'Jouw wensen'!$G$9</f>
        <v>80</v>
      </c>
      <c r="Z27" s="22">
        <f t="shared" si="3"/>
        <v>230.3</v>
      </c>
      <c r="AA27" s="22">
        <f t="shared" si="4"/>
        <v>365</v>
      </c>
      <c r="AB27" s="22">
        <f t="shared" si="5"/>
        <v>200</v>
      </c>
      <c r="AC27" s="22">
        <f t="shared" si="6"/>
        <v>35</v>
      </c>
      <c r="AD27" s="22">
        <f t="shared" si="7"/>
        <v>125</v>
      </c>
      <c r="AE27" s="22">
        <f t="shared" si="8"/>
        <v>360</v>
      </c>
      <c r="AF27" s="22">
        <f t="shared" si="9"/>
        <v>0</v>
      </c>
      <c r="AG27" s="22">
        <f t="shared" si="10"/>
        <v>1315.3</v>
      </c>
    </row>
    <row r="28" spans="1:33" ht="45" x14ac:dyDescent="0.25">
      <c r="A28" s="59" t="s">
        <v>108</v>
      </c>
      <c r="B28" s="38" t="s">
        <v>110</v>
      </c>
      <c r="C28" s="38" t="s">
        <v>90</v>
      </c>
      <c r="D28" s="47">
        <v>123.45</v>
      </c>
      <c r="E28" s="47">
        <v>37.25</v>
      </c>
      <c r="F28" s="40">
        <v>1</v>
      </c>
      <c r="G28" s="40">
        <v>1</v>
      </c>
      <c r="H28" s="51">
        <v>50</v>
      </c>
      <c r="I28" s="41">
        <v>1</v>
      </c>
      <c r="J28" s="45">
        <v>80</v>
      </c>
      <c r="K28" s="45">
        <f>27*45</f>
        <v>1215</v>
      </c>
      <c r="L28" s="45">
        <v>75</v>
      </c>
      <c r="M28" s="45">
        <f t="shared" si="0"/>
        <v>1928.3999999999999</v>
      </c>
      <c r="N28" s="45">
        <f t="shared" si="1"/>
        <v>1195.3</v>
      </c>
      <c r="O28" s="68">
        <f t="shared" si="2"/>
        <v>0.61984028209914954</v>
      </c>
      <c r="P28" s="5"/>
      <c r="R28" s="22">
        <f>'Jouw wensen'!$G$3</f>
        <v>230.3</v>
      </c>
      <c r="S28" s="22">
        <f>'Jouw wensen'!$G$4</f>
        <v>365</v>
      </c>
      <c r="T28" s="22">
        <f>'Jouw wensen'!$G$5</f>
        <v>200</v>
      </c>
      <c r="U28" s="22">
        <f>'Jouw wensen'!$G$6</f>
        <v>35</v>
      </c>
      <c r="V28" s="22">
        <f>'Jouw wensen'!$G$7</f>
        <v>125</v>
      </c>
      <c r="W28" s="22">
        <f>'Jouw wensen'!$G$8</f>
        <v>360</v>
      </c>
      <c r="X28" s="22">
        <f>'Jouw wensen'!$G$9</f>
        <v>80</v>
      </c>
      <c r="Z28" s="22">
        <f t="shared" si="3"/>
        <v>230.3</v>
      </c>
      <c r="AA28" s="22">
        <f t="shared" si="4"/>
        <v>365</v>
      </c>
      <c r="AB28" s="22">
        <f t="shared" si="5"/>
        <v>50</v>
      </c>
      <c r="AC28" s="22">
        <f t="shared" si="6"/>
        <v>35</v>
      </c>
      <c r="AD28" s="22">
        <f t="shared" si="7"/>
        <v>80</v>
      </c>
      <c r="AE28" s="22">
        <f t="shared" si="8"/>
        <v>360</v>
      </c>
      <c r="AF28" s="22">
        <f t="shared" si="9"/>
        <v>75</v>
      </c>
      <c r="AG28" s="22">
        <f t="shared" si="10"/>
        <v>1195.3</v>
      </c>
    </row>
    <row r="29" spans="1:33" ht="30" x14ac:dyDescent="0.25">
      <c r="A29" s="59" t="s">
        <v>119</v>
      </c>
      <c r="B29" s="38" t="s">
        <v>120</v>
      </c>
      <c r="C29" s="38" t="s">
        <v>123</v>
      </c>
      <c r="D29" s="47">
        <v>126.15</v>
      </c>
      <c r="E29" s="47">
        <v>37.25</v>
      </c>
      <c r="F29" s="40">
        <v>1</v>
      </c>
      <c r="G29" s="40">
        <v>1</v>
      </c>
      <c r="H29" s="51">
        <v>100</v>
      </c>
      <c r="I29" s="41">
        <v>1</v>
      </c>
      <c r="J29" s="45">
        <v>200</v>
      </c>
      <c r="K29" s="45">
        <f>32*45</f>
        <v>1440</v>
      </c>
      <c r="L29" s="45">
        <v>0</v>
      </c>
      <c r="M29" s="45">
        <f t="shared" si="0"/>
        <v>1960.8000000000002</v>
      </c>
      <c r="N29" s="45">
        <f t="shared" si="1"/>
        <v>1215.3</v>
      </c>
      <c r="O29" s="68">
        <f t="shared" si="2"/>
        <v>0.61979804161566698</v>
      </c>
      <c r="P29" s="5"/>
      <c r="R29" s="22">
        <f>'Jouw wensen'!$G$3</f>
        <v>230.3</v>
      </c>
      <c r="S29" s="22">
        <f>'Jouw wensen'!$G$4</f>
        <v>365</v>
      </c>
      <c r="T29" s="22">
        <f>'Jouw wensen'!$G$5</f>
        <v>200</v>
      </c>
      <c r="U29" s="22">
        <f>'Jouw wensen'!$G$6</f>
        <v>35</v>
      </c>
      <c r="V29" s="22">
        <f>'Jouw wensen'!$G$7</f>
        <v>125</v>
      </c>
      <c r="W29" s="22">
        <f>'Jouw wensen'!$G$8</f>
        <v>360</v>
      </c>
      <c r="X29" s="22">
        <f>'Jouw wensen'!$G$9</f>
        <v>80</v>
      </c>
      <c r="Z29" s="22">
        <f t="shared" si="3"/>
        <v>230.3</v>
      </c>
      <c r="AA29" s="22">
        <f t="shared" si="4"/>
        <v>365</v>
      </c>
      <c r="AB29" s="22">
        <f t="shared" si="5"/>
        <v>100</v>
      </c>
      <c r="AC29" s="22">
        <f t="shared" si="6"/>
        <v>35</v>
      </c>
      <c r="AD29" s="22">
        <f t="shared" si="7"/>
        <v>125</v>
      </c>
      <c r="AE29" s="22">
        <f t="shared" si="8"/>
        <v>360</v>
      </c>
      <c r="AF29" s="22">
        <f t="shared" si="9"/>
        <v>0</v>
      </c>
      <c r="AG29" s="22">
        <f t="shared" si="10"/>
        <v>1215.3</v>
      </c>
    </row>
    <row r="30" spans="1:33" ht="45" x14ac:dyDescent="0.25">
      <c r="A30" s="59" t="s">
        <v>41</v>
      </c>
      <c r="B30" s="38" t="s">
        <v>43</v>
      </c>
      <c r="C30" s="38" t="s">
        <v>118</v>
      </c>
      <c r="D30" s="47">
        <v>136.56</v>
      </c>
      <c r="E30" s="47">
        <v>20.92</v>
      </c>
      <c r="F30" s="40">
        <v>1</v>
      </c>
      <c r="G30" s="40">
        <v>1</v>
      </c>
      <c r="H30" s="51">
        <v>50</v>
      </c>
      <c r="I30" s="41">
        <v>1</v>
      </c>
      <c r="J30" s="45">
        <v>200</v>
      </c>
      <c r="K30" s="45">
        <f>12*45</f>
        <v>540</v>
      </c>
      <c r="L30" s="49">
        <v>0</v>
      </c>
      <c r="M30" s="45">
        <f t="shared" si="0"/>
        <v>1889.7600000000002</v>
      </c>
      <c r="N30" s="45">
        <f t="shared" si="1"/>
        <v>1165.3</v>
      </c>
      <c r="O30" s="68">
        <f t="shared" si="2"/>
        <v>0.61663914994496649</v>
      </c>
      <c r="P30" s="5" t="s">
        <v>64</v>
      </c>
      <c r="R30" s="22">
        <f>'Jouw wensen'!$G$3</f>
        <v>230.3</v>
      </c>
      <c r="S30" s="22">
        <f>'Jouw wensen'!$G$4</f>
        <v>365</v>
      </c>
      <c r="T30" s="22">
        <f>'Jouw wensen'!$G$5</f>
        <v>200</v>
      </c>
      <c r="U30" s="22">
        <f>'Jouw wensen'!$G$6</f>
        <v>35</v>
      </c>
      <c r="V30" s="22">
        <f>'Jouw wensen'!$G$7</f>
        <v>125</v>
      </c>
      <c r="W30" s="22">
        <f>'Jouw wensen'!$G$8</f>
        <v>360</v>
      </c>
      <c r="X30" s="22">
        <f>'Jouw wensen'!$G$9</f>
        <v>80</v>
      </c>
      <c r="Z30" s="22">
        <f t="shared" si="3"/>
        <v>230.3</v>
      </c>
      <c r="AA30" s="22">
        <f t="shared" si="4"/>
        <v>365</v>
      </c>
      <c r="AB30" s="22">
        <f t="shared" si="5"/>
        <v>50</v>
      </c>
      <c r="AC30" s="22">
        <f t="shared" si="6"/>
        <v>35</v>
      </c>
      <c r="AD30" s="22">
        <f t="shared" si="7"/>
        <v>125</v>
      </c>
      <c r="AE30" s="22">
        <f t="shared" si="8"/>
        <v>360</v>
      </c>
      <c r="AF30" s="22">
        <f t="shared" si="9"/>
        <v>0</v>
      </c>
      <c r="AG30" s="22">
        <f t="shared" si="10"/>
        <v>1165.3</v>
      </c>
    </row>
    <row r="31" spans="1:33" ht="45" x14ac:dyDescent="0.25">
      <c r="A31" s="59" t="s">
        <v>46</v>
      </c>
      <c r="B31" s="38" t="s">
        <v>47</v>
      </c>
      <c r="C31" s="38" t="s">
        <v>175</v>
      </c>
      <c r="D31" s="47">
        <v>119.5</v>
      </c>
      <c r="E31" s="47">
        <v>32.5</v>
      </c>
      <c r="F31" s="40">
        <v>1</v>
      </c>
      <c r="G31" s="40">
        <v>1</v>
      </c>
      <c r="H31" s="51">
        <v>0</v>
      </c>
      <c r="I31" s="41">
        <v>1</v>
      </c>
      <c r="J31" s="45">
        <v>200</v>
      </c>
      <c r="K31" s="45">
        <f>12*45</f>
        <v>540</v>
      </c>
      <c r="L31" s="49">
        <v>0</v>
      </c>
      <c r="M31" s="45">
        <f t="shared" si="0"/>
        <v>1824</v>
      </c>
      <c r="N31" s="45">
        <f t="shared" si="1"/>
        <v>1115.3</v>
      </c>
      <c r="O31" s="68">
        <f t="shared" si="2"/>
        <v>0.61145833333333333</v>
      </c>
      <c r="P31" s="5" t="s">
        <v>64</v>
      </c>
      <c r="R31" s="22">
        <f>'Jouw wensen'!$G$3</f>
        <v>230.3</v>
      </c>
      <c r="S31" s="22">
        <f>'Jouw wensen'!$G$4</f>
        <v>365</v>
      </c>
      <c r="T31" s="22">
        <f>'Jouw wensen'!$G$5</f>
        <v>200</v>
      </c>
      <c r="U31" s="22">
        <f>'Jouw wensen'!$G$6</f>
        <v>35</v>
      </c>
      <c r="V31" s="22">
        <f>'Jouw wensen'!$G$7</f>
        <v>125</v>
      </c>
      <c r="W31" s="22">
        <f>'Jouw wensen'!$G$8</f>
        <v>360</v>
      </c>
      <c r="X31" s="22">
        <f>'Jouw wensen'!$G$9</f>
        <v>80</v>
      </c>
      <c r="Z31" s="22">
        <f t="shared" si="3"/>
        <v>230.3</v>
      </c>
      <c r="AA31" s="22">
        <f t="shared" si="4"/>
        <v>365</v>
      </c>
      <c r="AB31" s="22">
        <f t="shared" si="5"/>
        <v>0</v>
      </c>
      <c r="AC31" s="22">
        <f t="shared" si="6"/>
        <v>35</v>
      </c>
      <c r="AD31" s="22">
        <f t="shared" si="7"/>
        <v>125</v>
      </c>
      <c r="AE31" s="22">
        <f t="shared" si="8"/>
        <v>360</v>
      </c>
      <c r="AF31" s="22">
        <f t="shared" si="9"/>
        <v>0</v>
      </c>
      <c r="AG31" s="22">
        <f t="shared" si="10"/>
        <v>1115.3</v>
      </c>
    </row>
    <row r="32" spans="1:33" ht="45" x14ac:dyDescent="0.25">
      <c r="A32" s="59" t="s">
        <v>41</v>
      </c>
      <c r="B32" s="38" t="s">
        <v>44</v>
      </c>
      <c r="C32" s="38" t="s">
        <v>79</v>
      </c>
      <c r="D32" s="47">
        <v>126.59</v>
      </c>
      <c r="E32" s="47">
        <v>40.450000000000003</v>
      </c>
      <c r="F32" s="40">
        <v>1</v>
      </c>
      <c r="G32" s="40">
        <v>1</v>
      </c>
      <c r="H32" s="51">
        <v>100</v>
      </c>
      <c r="I32" s="41">
        <v>1</v>
      </c>
      <c r="J32" s="45">
        <v>200</v>
      </c>
      <c r="K32" s="45">
        <f>20*45</f>
        <v>900</v>
      </c>
      <c r="L32" s="49">
        <v>0</v>
      </c>
      <c r="M32" s="45">
        <f t="shared" si="0"/>
        <v>2004.4800000000002</v>
      </c>
      <c r="N32" s="45">
        <f t="shared" si="1"/>
        <v>1215.3</v>
      </c>
      <c r="O32" s="68">
        <f t="shared" si="2"/>
        <v>0.60629190613026807</v>
      </c>
      <c r="P32" s="5" t="s">
        <v>64</v>
      </c>
      <c r="R32" s="22">
        <f>'Jouw wensen'!$G$3</f>
        <v>230.3</v>
      </c>
      <c r="S32" s="22">
        <f>'Jouw wensen'!$G$4</f>
        <v>365</v>
      </c>
      <c r="T32" s="22">
        <f>'Jouw wensen'!$G$5</f>
        <v>200</v>
      </c>
      <c r="U32" s="22">
        <f>'Jouw wensen'!$G$6</f>
        <v>35</v>
      </c>
      <c r="V32" s="22">
        <f>'Jouw wensen'!$G$7</f>
        <v>125</v>
      </c>
      <c r="W32" s="22">
        <f>'Jouw wensen'!$G$8</f>
        <v>360</v>
      </c>
      <c r="X32" s="22">
        <f>'Jouw wensen'!$G$9</f>
        <v>80</v>
      </c>
      <c r="Z32" s="22">
        <f t="shared" si="3"/>
        <v>230.3</v>
      </c>
      <c r="AA32" s="22">
        <f t="shared" si="4"/>
        <v>365</v>
      </c>
      <c r="AB32" s="22">
        <f t="shared" si="5"/>
        <v>100</v>
      </c>
      <c r="AC32" s="22">
        <f t="shared" si="6"/>
        <v>35</v>
      </c>
      <c r="AD32" s="22">
        <f t="shared" si="7"/>
        <v>125</v>
      </c>
      <c r="AE32" s="22">
        <f t="shared" si="8"/>
        <v>360</v>
      </c>
      <c r="AF32" s="22">
        <f t="shared" si="9"/>
        <v>0</v>
      </c>
      <c r="AG32" s="22">
        <f t="shared" si="10"/>
        <v>1215.3</v>
      </c>
    </row>
    <row r="33" spans="1:33" ht="45" hidden="1" x14ac:dyDescent="0.25">
      <c r="A33" s="59" t="s">
        <v>108</v>
      </c>
      <c r="B33" s="38" t="s">
        <v>111</v>
      </c>
      <c r="C33" s="38" t="s">
        <v>90</v>
      </c>
      <c r="D33" s="47">
        <v>131.44999999999999</v>
      </c>
      <c r="E33" s="47">
        <v>20.25</v>
      </c>
      <c r="F33" s="40">
        <f>125/230.3</f>
        <v>0.54277029960920531</v>
      </c>
      <c r="G33" s="40">
        <v>1</v>
      </c>
      <c r="H33" s="51">
        <v>50</v>
      </c>
      <c r="I33" s="41">
        <v>1</v>
      </c>
      <c r="J33" s="45">
        <v>80</v>
      </c>
      <c r="K33" s="45">
        <f>12*48</f>
        <v>576</v>
      </c>
      <c r="L33" s="45">
        <v>75</v>
      </c>
      <c r="M33" s="45">
        <f t="shared" si="0"/>
        <v>1820.3999999999999</v>
      </c>
      <c r="N33" s="45">
        <f t="shared" si="1"/>
        <v>1090</v>
      </c>
      <c r="O33" s="68">
        <f t="shared" si="2"/>
        <v>0.59876950120852568</v>
      </c>
      <c r="P33" s="5" t="s">
        <v>176</v>
      </c>
      <c r="R33" s="22">
        <f>'Jouw wensen'!$G$3</f>
        <v>230.3</v>
      </c>
      <c r="S33" s="22">
        <f>'Jouw wensen'!$G$4</f>
        <v>365</v>
      </c>
      <c r="T33" s="22">
        <f>'Jouw wensen'!$G$5</f>
        <v>200</v>
      </c>
      <c r="U33" s="22">
        <f>'Jouw wensen'!$G$6</f>
        <v>35</v>
      </c>
      <c r="V33" s="22">
        <f>'Jouw wensen'!$G$7</f>
        <v>125</v>
      </c>
      <c r="W33" s="22">
        <f>'Jouw wensen'!$G$8</f>
        <v>360</v>
      </c>
      <c r="X33" s="22">
        <f>'Jouw wensen'!$G$9</f>
        <v>80</v>
      </c>
      <c r="Z33" s="22">
        <f t="shared" si="3"/>
        <v>124.99999999999999</v>
      </c>
      <c r="AA33" s="22">
        <f t="shared" si="4"/>
        <v>365</v>
      </c>
      <c r="AB33" s="22">
        <f t="shared" si="5"/>
        <v>50</v>
      </c>
      <c r="AC33" s="22">
        <f t="shared" si="6"/>
        <v>35</v>
      </c>
      <c r="AD33" s="22">
        <f t="shared" si="7"/>
        <v>80</v>
      </c>
      <c r="AE33" s="22">
        <f t="shared" si="8"/>
        <v>360</v>
      </c>
      <c r="AF33" s="22">
        <f t="shared" si="9"/>
        <v>75</v>
      </c>
      <c r="AG33" s="22">
        <f t="shared" si="10"/>
        <v>1090</v>
      </c>
    </row>
    <row r="34" spans="1:33" ht="45" hidden="1" x14ac:dyDescent="0.25">
      <c r="A34" s="59" t="s">
        <v>101</v>
      </c>
      <c r="B34" s="38" t="s">
        <v>133</v>
      </c>
      <c r="C34" s="38" t="s">
        <v>118</v>
      </c>
      <c r="D34" s="47">
        <v>142.4</v>
      </c>
      <c r="E34" s="47">
        <v>23.65</v>
      </c>
      <c r="F34" s="40">
        <f>125/230.3</f>
        <v>0.54277029960920531</v>
      </c>
      <c r="G34" s="40">
        <v>1</v>
      </c>
      <c r="H34" s="51">
        <v>100</v>
      </c>
      <c r="I34" s="41">
        <v>1</v>
      </c>
      <c r="J34" s="45">
        <v>200</v>
      </c>
      <c r="K34" s="45">
        <f>20*45</f>
        <v>900</v>
      </c>
      <c r="L34" s="45">
        <v>80</v>
      </c>
      <c r="M34" s="45">
        <f t="shared" si="0"/>
        <v>1992.6000000000001</v>
      </c>
      <c r="N34" s="45">
        <f t="shared" si="1"/>
        <v>1190</v>
      </c>
      <c r="O34" s="68">
        <f t="shared" si="2"/>
        <v>0.59720967580046169</v>
      </c>
      <c r="P34" s="5"/>
      <c r="R34" s="22">
        <f>'Jouw wensen'!$G$3</f>
        <v>230.3</v>
      </c>
      <c r="S34" s="22">
        <f>'Jouw wensen'!$G$4</f>
        <v>365</v>
      </c>
      <c r="T34" s="22">
        <f>'Jouw wensen'!$G$5</f>
        <v>200</v>
      </c>
      <c r="U34" s="22">
        <f>'Jouw wensen'!$G$6</f>
        <v>35</v>
      </c>
      <c r="V34" s="22">
        <f>'Jouw wensen'!$G$7</f>
        <v>125</v>
      </c>
      <c r="W34" s="22">
        <f>'Jouw wensen'!$G$8</f>
        <v>360</v>
      </c>
      <c r="X34" s="22">
        <f>'Jouw wensen'!$G$9</f>
        <v>80</v>
      </c>
      <c r="Z34" s="22">
        <f t="shared" si="3"/>
        <v>124.99999999999999</v>
      </c>
      <c r="AA34" s="22">
        <f t="shared" si="4"/>
        <v>365</v>
      </c>
      <c r="AB34" s="22">
        <f t="shared" si="5"/>
        <v>100</v>
      </c>
      <c r="AC34" s="22">
        <f t="shared" si="6"/>
        <v>35</v>
      </c>
      <c r="AD34" s="22">
        <f t="shared" si="7"/>
        <v>125</v>
      </c>
      <c r="AE34" s="22">
        <f t="shared" si="8"/>
        <v>360</v>
      </c>
      <c r="AF34" s="22">
        <f t="shared" si="9"/>
        <v>80</v>
      </c>
      <c r="AG34" s="22">
        <f t="shared" si="10"/>
        <v>1190</v>
      </c>
    </row>
    <row r="35" spans="1:33" ht="30" x14ac:dyDescent="0.25">
      <c r="A35" s="59" t="s">
        <v>119</v>
      </c>
      <c r="B35" s="38" t="s">
        <v>127</v>
      </c>
      <c r="C35" s="38" t="s">
        <v>124</v>
      </c>
      <c r="D35" s="47">
        <v>132.65</v>
      </c>
      <c r="E35" s="47">
        <v>37.25</v>
      </c>
      <c r="F35" s="40">
        <v>1</v>
      </c>
      <c r="G35" s="40">
        <v>1</v>
      </c>
      <c r="H35" s="51">
        <v>100</v>
      </c>
      <c r="I35" s="41">
        <v>1</v>
      </c>
      <c r="J35" s="45">
        <v>200</v>
      </c>
      <c r="K35" s="45">
        <f>32*45</f>
        <v>1440</v>
      </c>
      <c r="L35" s="45">
        <v>0</v>
      </c>
      <c r="M35" s="45">
        <f t="shared" ref="M35:M66" si="11">SUM(D35+E35)*12</f>
        <v>2038.8000000000002</v>
      </c>
      <c r="N35" s="45">
        <f t="shared" ref="N35:N66" si="12">AG35</f>
        <v>1215.3</v>
      </c>
      <c r="O35" s="68">
        <f t="shared" ref="O35:O66" si="13">N35/M35</f>
        <v>0.59608593290170686</v>
      </c>
      <c r="P35" s="5"/>
      <c r="R35" s="22">
        <f>'Jouw wensen'!$G$3</f>
        <v>230.3</v>
      </c>
      <c r="S35" s="22">
        <f>'Jouw wensen'!$G$4</f>
        <v>365</v>
      </c>
      <c r="T35" s="22">
        <f>'Jouw wensen'!$G$5</f>
        <v>200</v>
      </c>
      <c r="U35" s="22">
        <f>'Jouw wensen'!$G$6</f>
        <v>35</v>
      </c>
      <c r="V35" s="22">
        <f>'Jouw wensen'!$G$7</f>
        <v>125</v>
      </c>
      <c r="W35" s="22">
        <f>'Jouw wensen'!$G$8</f>
        <v>360</v>
      </c>
      <c r="X35" s="22">
        <f>'Jouw wensen'!$G$9</f>
        <v>80</v>
      </c>
      <c r="Z35" s="22">
        <f t="shared" ref="Z35:Z66" si="14">F35*R35</f>
        <v>230.3</v>
      </c>
      <c r="AA35" s="22">
        <f t="shared" ref="AA35:AA66" si="15">G35*S35</f>
        <v>365</v>
      </c>
      <c r="AB35" s="22">
        <f t="shared" ref="AB35:AB66" si="16">IF(T35&gt;H35,H35,T35)</f>
        <v>100</v>
      </c>
      <c r="AC35" s="22">
        <f t="shared" ref="AC35:AC66" si="17">U35*I35</f>
        <v>35</v>
      </c>
      <c r="AD35" s="22">
        <f t="shared" ref="AD35:AD66" si="18">IF(V35&gt;J35,J35,V35)</f>
        <v>125</v>
      </c>
      <c r="AE35" s="22">
        <f t="shared" ref="AE35:AE66" si="19">IF(W35&gt;K35,K35,W35)</f>
        <v>360</v>
      </c>
      <c r="AF35" s="22">
        <f t="shared" ref="AF35:AF66" si="20">IF(X35&gt;L35,L35,X35)</f>
        <v>0</v>
      </c>
      <c r="AG35" s="22">
        <f t="shared" ref="AG35:AG66" si="21">SUM(Z35:AF35)</f>
        <v>1215.3</v>
      </c>
    </row>
    <row r="36" spans="1:33" ht="75" x14ac:dyDescent="0.25">
      <c r="A36" s="59" t="s">
        <v>67</v>
      </c>
      <c r="B36" s="38" t="s">
        <v>70</v>
      </c>
      <c r="C36" s="38" t="s">
        <v>118</v>
      </c>
      <c r="D36" s="47">
        <v>134.5</v>
      </c>
      <c r="E36" s="48">
        <v>43.01</v>
      </c>
      <c r="F36" s="42">
        <v>1</v>
      </c>
      <c r="G36" s="42">
        <v>1</v>
      </c>
      <c r="H36" s="50">
        <v>150</v>
      </c>
      <c r="I36" s="43">
        <v>1</v>
      </c>
      <c r="J36" s="49">
        <v>300</v>
      </c>
      <c r="K36" s="49">
        <f>30*45</f>
        <v>1350</v>
      </c>
      <c r="L36" s="45">
        <v>0</v>
      </c>
      <c r="M36" s="45">
        <f t="shared" si="11"/>
        <v>2130.12</v>
      </c>
      <c r="N36" s="45">
        <f t="shared" si="12"/>
        <v>1265.3</v>
      </c>
      <c r="O36" s="68">
        <f t="shared" si="13"/>
        <v>0.59400409366608453</v>
      </c>
      <c r="P36" s="5" t="s">
        <v>69</v>
      </c>
      <c r="R36" s="22">
        <f>'Jouw wensen'!$G$3</f>
        <v>230.3</v>
      </c>
      <c r="S36" s="22">
        <f>'Jouw wensen'!$G$4</f>
        <v>365</v>
      </c>
      <c r="T36" s="22">
        <f>'Jouw wensen'!$G$5</f>
        <v>200</v>
      </c>
      <c r="U36" s="22">
        <f>'Jouw wensen'!$G$6</f>
        <v>35</v>
      </c>
      <c r="V36" s="22">
        <f>'Jouw wensen'!$G$7</f>
        <v>125</v>
      </c>
      <c r="W36" s="22">
        <f>'Jouw wensen'!$G$8</f>
        <v>360</v>
      </c>
      <c r="X36" s="22">
        <f>'Jouw wensen'!$G$9</f>
        <v>80</v>
      </c>
      <c r="Z36" s="22">
        <f t="shared" si="14"/>
        <v>230.3</v>
      </c>
      <c r="AA36" s="22">
        <f t="shared" si="15"/>
        <v>365</v>
      </c>
      <c r="AB36" s="22">
        <f t="shared" si="16"/>
        <v>150</v>
      </c>
      <c r="AC36" s="22">
        <f t="shared" si="17"/>
        <v>35</v>
      </c>
      <c r="AD36" s="22">
        <f t="shared" si="18"/>
        <v>125</v>
      </c>
      <c r="AE36" s="22">
        <f t="shared" si="19"/>
        <v>360</v>
      </c>
      <c r="AF36" s="22">
        <f t="shared" si="20"/>
        <v>0</v>
      </c>
      <c r="AG36" s="22">
        <f t="shared" si="21"/>
        <v>1265.3</v>
      </c>
    </row>
    <row r="37" spans="1:33" ht="30" x14ac:dyDescent="0.25">
      <c r="A37" s="59" t="s">
        <v>48</v>
      </c>
      <c r="B37" s="38" t="s">
        <v>173</v>
      </c>
      <c r="C37" s="38" t="s">
        <v>118</v>
      </c>
      <c r="D37" s="47">
        <v>143.88999999999999</v>
      </c>
      <c r="E37" s="47">
        <v>38.75</v>
      </c>
      <c r="F37" s="40">
        <v>1</v>
      </c>
      <c r="G37" s="40">
        <v>1</v>
      </c>
      <c r="H37" s="39">
        <v>100</v>
      </c>
      <c r="I37" s="41">
        <v>1</v>
      </c>
      <c r="J37" s="45">
        <v>200</v>
      </c>
      <c r="K37" s="45">
        <f>20*45</f>
        <v>900</v>
      </c>
      <c r="L37" s="45">
        <v>80</v>
      </c>
      <c r="M37" s="45">
        <f t="shared" si="11"/>
        <v>2191.6799999999998</v>
      </c>
      <c r="N37" s="45">
        <f t="shared" si="12"/>
        <v>1295.3</v>
      </c>
      <c r="O37" s="68">
        <f t="shared" si="13"/>
        <v>0.59100781135932257</v>
      </c>
      <c r="P37" s="5"/>
      <c r="R37" s="22">
        <f>'Jouw wensen'!$G$3</f>
        <v>230.3</v>
      </c>
      <c r="S37" s="22">
        <f>'Jouw wensen'!$G$4</f>
        <v>365</v>
      </c>
      <c r="T37" s="22">
        <f>'Jouw wensen'!$G$5</f>
        <v>200</v>
      </c>
      <c r="U37" s="22">
        <f>'Jouw wensen'!$G$6</f>
        <v>35</v>
      </c>
      <c r="V37" s="22">
        <f>'Jouw wensen'!$G$7</f>
        <v>125</v>
      </c>
      <c r="W37" s="22">
        <f>'Jouw wensen'!$G$8</f>
        <v>360</v>
      </c>
      <c r="X37" s="22">
        <f>'Jouw wensen'!$G$9</f>
        <v>80</v>
      </c>
      <c r="Z37" s="22">
        <f t="shared" si="14"/>
        <v>230.3</v>
      </c>
      <c r="AA37" s="22">
        <f t="shared" si="15"/>
        <v>365</v>
      </c>
      <c r="AB37" s="22">
        <f t="shared" si="16"/>
        <v>100</v>
      </c>
      <c r="AC37" s="22">
        <f t="shared" si="17"/>
        <v>35</v>
      </c>
      <c r="AD37" s="22">
        <f t="shared" si="18"/>
        <v>125</v>
      </c>
      <c r="AE37" s="22">
        <f t="shared" si="19"/>
        <v>360</v>
      </c>
      <c r="AF37" s="22">
        <f t="shared" si="20"/>
        <v>80</v>
      </c>
      <c r="AG37" s="22">
        <f t="shared" si="21"/>
        <v>1295.3</v>
      </c>
    </row>
    <row r="38" spans="1:33" ht="30" x14ac:dyDescent="0.25">
      <c r="A38" s="59" t="s">
        <v>48</v>
      </c>
      <c r="B38" s="38" t="s">
        <v>174</v>
      </c>
      <c r="C38" s="38" t="s">
        <v>118</v>
      </c>
      <c r="D38" s="47">
        <v>143.88999999999999</v>
      </c>
      <c r="E38" s="47">
        <v>38.75</v>
      </c>
      <c r="F38" s="40">
        <v>1</v>
      </c>
      <c r="G38" s="40">
        <v>1</v>
      </c>
      <c r="H38" s="39">
        <v>100</v>
      </c>
      <c r="I38" s="41">
        <v>1</v>
      </c>
      <c r="J38" s="45">
        <v>200</v>
      </c>
      <c r="K38" s="45">
        <f>20*45</f>
        <v>900</v>
      </c>
      <c r="L38" s="45">
        <v>80</v>
      </c>
      <c r="M38" s="45">
        <f t="shared" si="11"/>
        <v>2191.6799999999998</v>
      </c>
      <c r="N38" s="45">
        <f t="shared" si="12"/>
        <v>1295.3</v>
      </c>
      <c r="O38" s="68">
        <f t="shared" si="13"/>
        <v>0.59100781135932257</v>
      </c>
      <c r="P38" s="5"/>
      <c r="R38" s="22">
        <f>'Jouw wensen'!$G$3</f>
        <v>230.3</v>
      </c>
      <c r="S38" s="22">
        <f>'Jouw wensen'!$G$4</f>
        <v>365</v>
      </c>
      <c r="T38" s="22">
        <f>'Jouw wensen'!$G$5</f>
        <v>200</v>
      </c>
      <c r="U38" s="22">
        <f>'Jouw wensen'!$G$6</f>
        <v>35</v>
      </c>
      <c r="V38" s="22">
        <f>'Jouw wensen'!$G$7</f>
        <v>125</v>
      </c>
      <c r="W38" s="22">
        <f>'Jouw wensen'!$G$8</f>
        <v>360</v>
      </c>
      <c r="X38" s="22">
        <f>'Jouw wensen'!$G$9</f>
        <v>80</v>
      </c>
      <c r="Z38" s="22">
        <f t="shared" si="14"/>
        <v>230.3</v>
      </c>
      <c r="AA38" s="22">
        <f t="shared" si="15"/>
        <v>365</v>
      </c>
      <c r="AB38" s="22">
        <f t="shared" si="16"/>
        <v>100</v>
      </c>
      <c r="AC38" s="22">
        <f t="shared" si="17"/>
        <v>35</v>
      </c>
      <c r="AD38" s="22">
        <f t="shared" si="18"/>
        <v>125</v>
      </c>
      <c r="AE38" s="22">
        <f t="shared" si="19"/>
        <v>360</v>
      </c>
      <c r="AF38" s="22">
        <f t="shared" si="20"/>
        <v>80</v>
      </c>
      <c r="AG38" s="22">
        <f t="shared" si="21"/>
        <v>1295.3</v>
      </c>
    </row>
    <row r="39" spans="1:33" ht="45" x14ac:dyDescent="0.25">
      <c r="A39" s="59" t="s">
        <v>108</v>
      </c>
      <c r="B39" s="38" t="s">
        <v>114</v>
      </c>
      <c r="C39" s="38" t="s">
        <v>90</v>
      </c>
      <c r="D39" s="47">
        <v>131.44999999999999</v>
      </c>
      <c r="E39" s="47">
        <v>37.25</v>
      </c>
      <c r="F39" s="40">
        <v>1</v>
      </c>
      <c r="G39" s="40">
        <v>1</v>
      </c>
      <c r="H39" s="51">
        <v>50</v>
      </c>
      <c r="I39" s="41">
        <v>1</v>
      </c>
      <c r="J39" s="45">
        <v>80</v>
      </c>
      <c r="K39" s="45">
        <f>27*45</f>
        <v>1215</v>
      </c>
      <c r="L39" s="45">
        <v>75</v>
      </c>
      <c r="M39" s="45">
        <f t="shared" si="11"/>
        <v>2024.3999999999999</v>
      </c>
      <c r="N39" s="45">
        <f t="shared" si="12"/>
        <v>1195.3</v>
      </c>
      <c r="O39" s="68">
        <f t="shared" si="13"/>
        <v>0.59044655206480934</v>
      </c>
      <c r="P39" s="5"/>
      <c r="R39" s="22">
        <f>'Jouw wensen'!$G$3</f>
        <v>230.3</v>
      </c>
      <c r="S39" s="22">
        <f>'Jouw wensen'!$G$4</f>
        <v>365</v>
      </c>
      <c r="T39" s="22">
        <f>'Jouw wensen'!$G$5</f>
        <v>200</v>
      </c>
      <c r="U39" s="22">
        <f>'Jouw wensen'!$G$6</f>
        <v>35</v>
      </c>
      <c r="V39" s="22">
        <f>'Jouw wensen'!$G$7</f>
        <v>125</v>
      </c>
      <c r="W39" s="22">
        <f>'Jouw wensen'!$G$8</f>
        <v>360</v>
      </c>
      <c r="X39" s="22">
        <f>'Jouw wensen'!$G$9</f>
        <v>80</v>
      </c>
      <c r="Z39" s="22">
        <f t="shared" si="14"/>
        <v>230.3</v>
      </c>
      <c r="AA39" s="22">
        <f t="shared" si="15"/>
        <v>365</v>
      </c>
      <c r="AB39" s="22">
        <f t="shared" si="16"/>
        <v>50</v>
      </c>
      <c r="AC39" s="22">
        <f t="shared" si="17"/>
        <v>35</v>
      </c>
      <c r="AD39" s="22">
        <f t="shared" si="18"/>
        <v>80</v>
      </c>
      <c r="AE39" s="22">
        <f t="shared" si="19"/>
        <v>360</v>
      </c>
      <c r="AF39" s="22">
        <f t="shared" si="20"/>
        <v>75</v>
      </c>
      <c r="AG39" s="22">
        <f t="shared" si="21"/>
        <v>1195.3</v>
      </c>
    </row>
    <row r="40" spans="1:33" ht="30" x14ac:dyDescent="0.25">
      <c r="A40" s="59" t="s">
        <v>101</v>
      </c>
      <c r="B40" s="38" t="s">
        <v>136</v>
      </c>
      <c r="C40" s="38" t="s">
        <v>118</v>
      </c>
      <c r="D40" s="47">
        <v>142.4</v>
      </c>
      <c r="E40" s="47">
        <v>40.5</v>
      </c>
      <c r="F40" s="40">
        <v>1</v>
      </c>
      <c r="G40" s="40">
        <v>1</v>
      </c>
      <c r="H40" s="51">
        <v>100</v>
      </c>
      <c r="I40" s="41">
        <v>1</v>
      </c>
      <c r="J40" s="45">
        <v>200</v>
      </c>
      <c r="K40" s="45">
        <f>20*45</f>
        <v>900</v>
      </c>
      <c r="L40" s="45">
        <v>80</v>
      </c>
      <c r="M40" s="45">
        <f t="shared" si="11"/>
        <v>2194.8000000000002</v>
      </c>
      <c r="N40" s="45">
        <f t="shared" si="12"/>
        <v>1295.3</v>
      </c>
      <c r="O40" s="68">
        <f t="shared" si="13"/>
        <v>0.59016766903590301</v>
      </c>
      <c r="P40" s="5"/>
      <c r="R40" s="22">
        <f>'Jouw wensen'!$G$3</f>
        <v>230.3</v>
      </c>
      <c r="S40" s="22">
        <f>'Jouw wensen'!$G$4</f>
        <v>365</v>
      </c>
      <c r="T40" s="22">
        <f>'Jouw wensen'!$G$5</f>
        <v>200</v>
      </c>
      <c r="U40" s="22">
        <f>'Jouw wensen'!$G$6</f>
        <v>35</v>
      </c>
      <c r="V40" s="22">
        <f>'Jouw wensen'!$G$7</f>
        <v>125</v>
      </c>
      <c r="W40" s="22">
        <f>'Jouw wensen'!$G$8</f>
        <v>360</v>
      </c>
      <c r="X40" s="22">
        <f>'Jouw wensen'!$G$9</f>
        <v>80</v>
      </c>
      <c r="Z40" s="22">
        <f t="shared" si="14"/>
        <v>230.3</v>
      </c>
      <c r="AA40" s="22">
        <f t="shared" si="15"/>
        <v>365</v>
      </c>
      <c r="AB40" s="22">
        <f t="shared" si="16"/>
        <v>100</v>
      </c>
      <c r="AC40" s="22">
        <f t="shared" si="17"/>
        <v>35</v>
      </c>
      <c r="AD40" s="22">
        <f t="shared" si="18"/>
        <v>125</v>
      </c>
      <c r="AE40" s="22">
        <f t="shared" si="19"/>
        <v>360</v>
      </c>
      <c r="AF40" s="22">
        <f t="shared" si="20"/>
        <v>80</v>
      </c>
      <c r="AG40" s="22">
        <f t="shared" si="21"/>
        <v>1295.3</v>
      </c>
    </row>
    <row r="41" spans="1:33" ht="30" x14ac:dyDescent="0.25">
      <c r="A41" s="59" t="s">
        <v>107</v>
      </c>
      <c r="B41" s="38" t="s">
        <v>145</v>
      </c>
      <c r="C41" s="38" t="s">
        <v>123</v>
      </c>
      <c r="D41" s="47">
        <v>126.75</v>
      </c>
      <c r="E41" s="47">
        <v>59</v>
      </c>
      <c r="F41" s="40">
        <v>1</v>
      </c>
      <c r="G41" s="40">
        <v>1</v>
      </c>
      <c r="H41" s="51">
        <v>200</v>
      </c>
      <c r="I41" s="41">
        <v>1</v>
      </c>
      <c r="J41" s="45">
        <v>200</v>
      </c>
      <c r="K41" s="45">
        <f>12*45</f>
        <v>540</v>
      </c>
      <c r="L41" s="45">
        <v>0</v>
      </c>
      <c r="M41" s="45">
        <f t="shared" si="11"/>
        <v>2229</v>
      </c>
      <c r="N41" s="45">
        <f t="shared" si="12"/>
        <v>1315.3</v>
      </c>
      <c r="O41" s="68">
        <f t="shared" si="13"/>
        <v>0.59008524001794527</v>
      </c>
      <c r="P41" s="5"/>
      <c r="R41" s="22">
        <f>'Jouw wensen'!$G$3</f>
        <v>230.3</v>
      </c>
      <c r="S41" s="22">
        <f>'Jouw wensen'!$G$4</f>
        <v>365</v>
      </c>
      <c r="T41" s="22">
        <f>'Jouw wensen'!$G$5</f>
        <v>200</v>
      </c>
      <c r="U41" s="22">
        <f>'Jouw wensen'!$G$6</f>
        <v>35</v>
      </c>
      <c r="V41" s="22">
        <f>'Jouw wensen'!$G$7</f>
        <v>125</v>
      </c>
      <c r="W41" s="22">
        <f>'Jouw wensen'!$G$8</f>
        <v>360</v>
      </c>
      <c r="X41" s="22">
        <f>'Jouw wensen'!$G$9</f>
        <v>80</v>
      </c>
      <c r="Z41" s="22">
        <f t="shared" si="14"/>
        <v>230.3</v>
      </c>
      <c r="AA41" s="22">
        <f t="shared" si="15"/>
        <v>365</v>
      </c>
      <c r="AB41" s="22">
        <f t="shared" si="16"/>
        <v>200</v>
      </c>
      <c r="AC41" s="22">
        <f t="shared" si="17"/>
        <v>35</v>
      </c>
      <c r="AD41" s="22">
        <f t="shared" si="18"/>
        <v>125</v>
      </c>
      <c r="AE41" s="22">
        <f t="shared" si="19"/>
        <v>360</v>
      </c>
      <c r="AF41" s="22">
        <f t="shared" si="20"/>
        <v>0</v>
      </c>
      <c r="AG41" s="22">
        <f t="shared" si="21"/>
        <v>1315.3</v>
      </c>
    </row>
    <row r="42" spans="1:33" ht="60" x14ac:dyDescent="0.25">
      <c r="A42" s="59" t="s">
        <v>61</v>
      </c>
      <c r="B42" s="38" t="s">
        <v>65</v>
      </c>
      <c r="C42" s="38" t="s">
        <v>118</v>
      </c>
      <c r="D42" s="47">
        <v>143.75</v>
      </c>
      <c r="E42" s="47">
        <v>22.5</v>
      </c>
      <c r="F42" s="40">
        <v>1</v>
      </c>
      <c r="G42" s="40">
        <v>1</v>
      </c>
      <c r="H42" s="51">
        <v>50</v>
      </c>
      <c r="I42" s="41">
        <v>1</v>
      </c>
      <c r="J42" s="45">
        <v>200</v>
      </c>
      <c r="K42" s="45">
        <f>12*45</f>
        <v>540</v>
      </c>
      <c r="L42" s="49">
        <v>0</v>
      </c>
      <c r="M42" s="45">
        <f t="shared" si="11"/>
        <v>1995</v>
      </c>
      <c r="N42" s="45">
        <f t="shared" si="12"/>
        <v>1165.3</v>
      </c>
      <c r="O42" s="68">
        <f t="shared" si="13"/>
        <v>0.58411027568922302</v>
      </c>
      <c r="P42" s="5" t="s">
        <v>78</v>
      </c>
      <c r="R42" s="22">
        <f>'Jouw wensen'!$G$3</f>
        <v>230.3</v>
      </c>
      <c r="S42" s="22">
        <f>'Jouw wensen'!$G$4</f>
        <v>365</v>
      </c>
      <c r="T42" s="22">
        <f>'Jouw wensen'!$G$5</f>
        <v>200</v>
      </c>
      <c r="U42" s="22">
        <f>'Jouw wensen'!$G$6</f>
        <v>35</v>
      </c>
      <c r="V42" s="22">
        <f>'Jouw wensen'!$G$7</f>
        <v>125</v>
      </c>
      <c r="W42" s="22">
        <f>'Jouw wensen'!$G$8</f>
        <v>360</v>
      </c>
      <c r="X42" s="22">
        <f>'Jouw wensen'!$G$9</f>
        <v>80</v>
      </c>
      <c r="Z42" s="22">
        <f t="shared" si="14"/>
        <v>230.3</v>
      </c>
      <c r="AA42" s="22">
        <f t="shared" si="15"/>
        <v>365</v>
      </c>
      <c r="AB42" s="22">
        <f t="shared" si="16"/>
        <v>50</v>
      </c>
      <c r="AC42" s="22">
        <f t="shared" si="17"/>
        <v>35</v>
      </c>
      <c r="AD42" s="22">
        <f t="shared" si="18"/>
        <v>125</v>
      </c>
      <c r="AE42" s="22">
        <f t="shared" si="19"/>
        <v>360</v>
      </c>
      <c r="AF42" s="22">
        <f t="shared" si="20"/>
        <v>0</v>
      </c>
      <c r="AG42" s="22">
        <f t="shared" si="21"/>
        <v>1165.3</v>
      </c>
    </row>
    <row r="43" spans="1:33" ht="30" x14ac:dyDescent="0.25">
      <c r="A43" s="59" t="s">
        <v>119</v>
      </c>
      <c r="B43" s="38" t="s">
        <v>121</v>
      </c>
      <c r="C43" s="38" t="s">
        <v>123</v>
      </c>
      <c r="D43" s="47">
        <v>126.15</v>
      </c>
      <c r="E43" s="47">
        <v>47.65</v>
      </c>
      <c r="F43" s="40">
        <v>1</v>
      </c>
      <c r="G43" s="40">
        <v>1</v>
      </c>
      <c r="H43" s="51">
        <v>100</v>
      </c>
      <c r="I43" s="41">
        <v>1</v>
      </c>
      <c r="J43" s="45">
        <v>200</v>
      </c>
      <c r="K43" s="45">
        <f>24*45</f>
        <v>1080</v>
      </c>
      <c r="L43" s="45">
        <v>0</v>
      </c>
      <c r="M43" s="45">
        <f t="shared" si="11"/>
        <v>2085.6000000000004</v>
      </c>
      <c r="N43" s="45">
        <f t="shared" si="12"/>
        <v>1215.3</v>
      </c>
      <c r="O43" s="68">
        <f t="shared" si="13"/>
        <v>0.5827100115074797</v>
      </c>
      <c r="P43" s="5"/>
      <c r="R43" s="22">
        <f>'Jouw wensen'!$G$3</f>
        <v>230.3</v>
      </c>
      <c r="S43" s="22">
        <f>'Jouw wensen'!$G$4</f>
        <v>365</v>
      </c>
      <c r="T43" s="22">
        <f>'Jouw wensen'!$G$5</f>
        <v>200</v>
      </c>
      <c r="U43" s="22">
        <f>'Jouw wensen'!$G$6</f>
        <v>35</v>
      </c>
      <c r="V43" s="22">
        <f>'Jouw wensen'!$G$7</f>
        <v>125</v>
      </c>
      <c r="W43" s="22">
        <f>'Jouw wensen'!$G$8</f>
        <v>360</v>
      </c>
      <c r="X43" s="22">
        <f>'Jouw wensen'!$G$9</f>
        <v>80</v>
      </c>
      <c r="Z43" s="22">
        <f t="shared" si="14"/>
        <v>230.3</v>
      </c>
      <c r="AA43" s="22">
        <f t="shared" si="15"/>
        <v>365</v>
      </c>
      <c r="AB43" s="22">
        <f t="shared" si="16"/>
        <v>100</v>
      </c>
      <c r="AC43" s="22">
        <f t="shared" si="17"/>
        <v>35</v>
      </c>
      <c r="AD43" s="22">
        <f t="shared" si="18"/>
        <v>125</v>
      </c>
      <c r="AE43" s="22">
        <f t="shared" si="19"/>
        <v>360</v>
      </c>
      <c r="AF43" s="22">
        <f t="shared" si="20"/>
        <v>0</v>
      </c>
      <c r="AG43" s="22">
        <f t="shared" si="21"/>
        <v>1215.3</v>
      </c>
    </row>
    <row r="44" spans="1:33" ht="105" x14ac:dyDescent="0.25">
      <c r="A44" s="59" t="s">
        <v>82</v>
      </c>
      <c r="B44" s="38" t="s">
        <v>85</v>
      </c>
      <c r="C44" s="38" t="s">
        <v>118</v>
      </c>
      <c r="D44" s="47">
        <v>127.77</v>
      </c>
      <c r="E44" s="48">
        <v>61.38</v>
      </c>
      <c r="F44" s="42">
        <v>1</v>
      </c>
      <c r="G44" s="42">
        <v>1</v>
      </c>
      <c r="H44" s="50">
        <v>250</v>
      </c>
      <c r="I44" s="43">
        <v>1</v>
      </c>
      <c r="J44" s="49">
        <v>300</v>
      </c>
      <c r="K44" s="49">
        <f>50*45</f>
        <v>2250</v>
      </c>
      <c r="L44" s="45">
        <v>0</v>
      </c>
      <c r="M44" s="45">
        <f t="shared" si="11"/>
        <v>2269.8000000000002</v>
      </c>
      <c r="N44" s="45">
        <f t="shared" si="12"/>
        <v>1315.3</v>
      </c>
      <c r="O44" s="68">
        <f t="shared" si="13"/>
        <v>0.57947836813816189</v>
      </c>
      <c r="P44" s="5" t="s">
        <v>87</v>
      </c>
      <c r="R44" s="22">
        <f>'Jouw wensen'!$G$3</f>
        <v>230.3</v>
      </c>
      <c r="S44" s="22">
        <f>'Jouw wensen'!$G$4</f>
        <v>365</v>
      </c>
      <c r="T44" s="22">
        <f>'Jouw wensen'!$G$5</f>
        <v>200</v>
      </c>
      <c r="U44" s="22">
        <f>'Jouw wensen'!$G$6</f>
        <v>35</v>
      </c>
      <c r="V44" s="22">
        <f>'Jouw wensen'!$G$7</f>
        <v>125</v>
      </c>
      <c r="W44" s="22">
        <f>'Jouw wensen'!$G$8</f>
        <v>360</v>
      </c>
      <c r="X44" s="22">
        <f>'Jouw wensen'!$G$9</f>
        <v>80</v>
      </c>
      <c r="Z44" s="22">
        <f t="shared" si="14"/>
        <v>230.3</v>
      </c>
      <c r="AA44" s="22">
        <f t="shared" si="15"/>
        <v>365</v>
      </c>
      <c r="AB44" s="22">
        <f t="shared" si="16"/>
        <v>200</v>
      </c>
      <c r="AC44" s="22">
        <f t="shared" si="17"/>
        <v>35</v>
      </c>
      <c r="AD44" s="22">
        <f t="shared" si="18"/>
        <v>125</v>
      </c>
      <c r="AE44" s="22">
        <f t="shared" si="19"/>
        <v>360</v>
      </c>
      <c r="AF44" s="22">
        <f t="shared" si="20"/>
        <v>0</v>
      </c>
      <c r="AG44" s="22">
        <f t="shared" si="21"/>
        <v>1315.3</v>
      </c>
    </row>
    <row r="45" spans="1:33" ht="30" x14ac:dyDescent="0.25">
      <c r="A45" s="59" t="s">
        <v>119</v>
      </c>
      <c r="B45" s="38" t="s">
        <v>125</v>
      </c>
      <c r="C45" s="38" t="s">
        <v>118</v>
      </c>
      <c r="D45" s="47">
        <v>138.55000000000001</v>
      </c>
      <c r="E45" s="47">
        <v>37.25</v>
      </c>
      <c r="F45" s="40">
        <v>1</v>
      </c>
      <c r="G45" s="40">
        <v>1</v>
      </c>
      <c r="H45" s="51">
        <v>100</v>
      </c>
      <c r="I45" s="41">
        <v>1</v>
      </c>
      <c r="J45" s="45">
        <v>200</v>
      </c>
      <c r="K45" s="45">
        <f>32*45</f>
        <v>1440</v>
      </c>
      <c r="L45" s="45">
        <v>0</v>
      </c>
      <c r="M45" s="45">
        <f t="shared" si="11"/>
        <v>2109.6000000000004</v>
      </c>
      <c r="N45" s="45">
        <f t="shared" si="12"/>
        <v>1215.3</v>
      </c>
      <c r="O45" s="68">
        <f t="shared" si="13"/>
        <v>0.57608077360637078</v>
      </c>
      <c r="P45" s="5"/>
      <c r="R45" s="22">
        <f>'Jouw wensen'!$G$3</f>
        <v>230.3</v>
      </c>
      <c r="S45" s="22">
        <f>'Jouw wensen'!$G$4</f>
        <v>365</v>
      </c>
      <c r="T45" s="22">
        <f>'Jouw wensen'!$G$5</f>
        <v>200</v>
      </c>
      <c r="U45" s="22">
        <f>'Jouw wensen'!$G$6</f>
        <v>35</v>
      </c>
      <c r="V45" s="22">
        <f>'Jouw wensen'!$G$7</f>
        <v>125</v>
      </c>
      <c r="W45" s="22">
        <f>'Jouw wensen'!$G$8</f>
        <v>360</v>
      </c>
      <c r="X45" s="22">
        <f>'Jouw wensen'!$G$9</f>
        <v>80</v>
      </c>
      <c r="Z45" s="22">
        <f t="shared" si="14"/>
        <v>230.3</v>
      </c>
      <c r="AA45" s="22">
        <f t="shared" si="15"/>
        <v>365</v>
      </c>
      <c r="AB45" s="22">
        <f t="shared" si="16"/>
        <v>100</v>
      </c>
      <c r="AC45" s="22">
        <f t="shared" si="17"/>
        <v>35</v>
      </c>
      <c r="AD45" s="22">
        <f t="shared" si="18"/>
        <v>125</v>
      </c>
      <c r="AE45" s="22">
        <f t="shared" si="19"/>
        <v>360</v>
      </c>
      <c r="AF45" s="22">
        <f t="shared" si="20"/>
        <v>0</v>
      </c>
      <c r="AG45" s="22">
        <f t="shared" si="21"/>
        <v>1215.3</v>
      </c>
    </row>
    <row r="46" spans="1:33" ht="30" hidden="1" x14ac:dyDescent="0.25">
      <c r="A46" s="59" t="s">
        <v>119</v>
      </c>
      <c r="B46" s="38" t="s">
        <v>122</v>
      </c>
      <c r="C46" s="38" t="s">
        <v>123</v>
      </c>
      <c r="D46" s="47">
        <v>126.15</v>
      </c>
      <c r="E46" s="47">
        <v>16.5</v>
      </c>
      <c r="F46" s="40">
        <v>0</v>
      </c>
      <c r="G46" s="40">
        <v>1</v>
      </c>
      <c r="H46" s="51">
        <v>100</v>
      </c>
      <c r="I46" s="41">
        <v>1</v>
      </c>
      <c r="J46" s="45">
        <v>200</v>
      </c>
      <c r="K46" s="45">
        <f>16*45</f>
        <v>720</v>
      </c>
      <c r="L46" s="45">
        <v>0</v>
      </c>
      <c r="M46" s="45">
        <f t="shared" si="11"/>
        <v>1711.8000000000002</v>
      </c>
      <c r="N46" s="45">
        <f t="shared" si="12"/>
        <v>985</v>
      </c>
      <c r="O46" s="68">
        <f t="shared" si="13"/>
        <v>0.57541768898235768</v>
      </c>
      <c r="P46" s="5"/>
      <c r="R46" s="22">
        <f>'Jouw wensen'!$G$3</f>
        <v>230.3</v>
      </c>
      <c r="S46" s="22">
        <f>'Jouw wensen'!$G$4</f>
        <v>365</v>
      </c>
      <c r="T46" s="22">
        <f>'Jouw wensen'!$G$5</f>
        <v>200</v>
      </c>
      <c r="U46" s="22">
        <f>'Jouw wensen'!$G$6</f>
        <v>35</v>
      </c>
      <c r="V46" s="22">
        <f>'Jouw wensen'!$G$7</f>
        <v>125</v>
      </c>
      <c r="W46" s="22">
        <f>'Jouw wensen'!$G$8</f>
        <v>360</v>
      </c>
      <c r="X46" s="22">
        <f>'Jouw wensen'!$G$9</f>
        <v>80</v>
      </c>
      <c r="Z46" s="22">
        <f t="shared" si="14"/>
        <v>0</v>
      </c>
      <c r="AA46" s="22">
        <f t="shared" si="15"/>
        <v>365</v>
      </c>
      <c r="AB46" s="22">
        <f t="shared" si="16"/>
        <v>100</v>
      </c>
      <c r="AC46" s="22">
        <f t="shared" si="17"/>
        <v>35</v>
      </c>
      <c r="AD46" s="22">
        <f t="shared" si="18"/>
        <v>125</v>
      </c>
      <c r="AE46" s="22">
        <f t="shared" si="19"/>
        <v>360</v>
      </c>
      <c r="AF46" s="22">
        <f t="shared" si="20"/>
        <v>0</v>
      </c>
      <c r="AG46" s="22">
        <f t="shared" si="21"/>
        <v>985</v>
      </c>
    </row>
    <row r="47" spans="1:33" ht="60" x14ac:dyDescent="0.25">
      <c r="A47" s="59" t="s">
        <v>61</v>
      </c>
      <c r="B47" s="38" t="s">
        <v>63</v>
      </c>
      <c r="C47" s="38" t="s">
        <v>79</v>
      </c>
      <c r="D47" s="47">
        <v>133.25</v>
      </c>
      <c r="E47" s="47">
        <v>43.5</v>
      </c>
      <c r="F47" s="40">
        <v>1</v>
      </c>
      <c r="G47" s="40">
        <v>1</v>
      </c>
      <c r="H47" s="51">
        <v>100</v>
      </c>
      <c r="I47" s="41">
        <v>1</v>
      </c>
      <c r="J47" s="45">
        <v>200</v>
      </c>
      <c r="K47" s="45">
        <f>20*45</f>
        <v>900</v>
      </c>
      <c r="L47" s="49">
        <v>0</v>
      </c>
      <c r="M47" s="45">
        <f t="shared" si="11"/>
        <v>2121</v>
      </c>
      <c r="N47" s="45">
        <f t="shared" si="12"/>
        <v>1215.3</v>
      </c>
      <c r="O47" s="68">
        <f t="shared" si="13"/>
        <v>0.57298444130127302</v>
      </c>
      <c r="P47" s="5" t="s">
        <v>78</v>
      </c>
      <c r="R47" s="22">
        <f>'Jouw wensen'!$G$3</f>
        <v>230.3</v>
      </c>
      <c r="S47" s="22">
        <f>'Jouw wensen'!$G$4</f>
        <v>365</v>
      </c>
      <c r="T47" s="22">
        <f>'Jouw wensen'!$G$5</f>
        <v>200</v>
      </c>
      <c r="U47" s="22">
        <f>'Jouw wensen'!$G$6</f>
        <v>35</v>
      </c>
      <c r="V47" s="22">
        <f>'Jouw wensen'!$G$7</f>
        <v>125</v>
      </c>
      <c r="W47" s="22">
        <f>'Jouw wensen'!$G$8</f>
        <v>360</v>
      </c>
      <c r="X47" s="22">
        <f>'Jouw wensen'!$G$9</f>
        <v>80</v>
      </c>
      <c r="Z47" s="22">
        <f t="shared" si="14"/>
        <v>230.3</v>
      </c>
      <c r="AA47" s="22">
        <f t="shared" si="15"/>
        <v>365</v>
      </c>
      <c r="AB47" s="22">
        <f t="shared" si="16"/>
        <v>100</v>
      </c>
      <c r="AC47" s="22">
        <f t="shared" si="17"/>
        <v>35</v>
      </c>
      <c r="AD47" s="22">
        <f t="shared" si="18"/>
        <v>125</v>
      </c>
      <c r="AE47" s="22">
        <f t="shared" si="19"/>
        <v>360</v>
      </c>
      <c r="AF47" s="22">
        <f t="shared" si="20"/>
        <v>0</v>
      </c>
      <c r="AG47" s="22">
        <f t="shared" si="21"/>
        <v>1215.3</v>
      </c>
    </row>
    <row r="48" spans="1:33" ht="45" x14ac:dyDescent="0.25">
      <c r="A48" s="59" t="s">
        <v>41</v>
      </c>
      <c r="B48" s="38" t="s">
        <v>45</v>
      </c>
      <c r="C48" s="38" t="s">
        <v>118</v>
      </c>
      <c r="D48" s="47">
        <v>136.56</v>
      </c>
      <c r="E48" s="47">
        <v>40.450000000000003</v>
      </c>
      <c r="F48" s="40">
        <v>1</v>
      </c>
      <c r="G48" s="40">
        <v>1</v>
      </c>
      <c r="H48" s="51">
        <v>100</v>
      </c>
      <c r="I48" s="41">
        <v>1</v>
      </c>
      <c r="J48" s="45">
        <v>200</v>
      </c>
      <c r="K48" s="45">
        <f>20*45</f>
        <v>900</v>
      </c>
      <c r="L48" s="49">
        <v>0</v>
      </c>
      <c r="M48" s="45">
        <f t="shared" si="11"/>
        <v>2124.12</v>
      </c>
      <c r="N48" s="45">
        <f t="shared" si="12"/>
        <v>1215.3</v>
      </c>
      <c r="O48" s="68">
        <f t="shared" si="13"/>
        <v>0.57214281679001189</v>
      </c>
      <c r="P48" s="5" t="s">
        <v>76</v>
      </c>
      <c r="R48" s="22">
        <f>'Jouw wensen'!$G$3</f>
        <v>230.3</v>
      </c>
      <c r="S48" s="22">
        <f>'Jouw wensen'!$G$4</f>
        <v>365</v>
      </c>
      <c r="T48" s="22">
        <f>'Jouw wensen'!$G$5</f>
        <v>200</v>
      </c>
      <c r="U48" s="22">
        <f>'Jouw wensen'!$G$6</f>
        <v>35</v>
      </c>
      <c r="V48" s="22">
        <f>'Jouw wensen'!$G$7</f>
        <v>125</v>
      </c>
      <c r="W48" s="22">
        <f>'Jouw wensen'!$G$8</f>
        <v>360</v>
      </c>
      <c r="X48" s="22">
        <f>'Jouw wensen'!$G$9</f>
        <v>80</v>
      </c>
      <c r="Z48" s="22">
        <f t="shared" si="14"/>
        <v>230.3</v>
      </c>
      <c r="AA48" s="22">
        <f t="shared" si="15"/>
        <v>365</v>
      </c>
      <c r="AB48" s="22">
        <f t="shared" si="16"/>
        <v>100</v>
      </c>
      <c r="AC48" s="22">
        <f t="shared" si="17"/>
        <v>35</v>
      </c>
      <c r="AD48" s="22">
        <f t="shared" si="18"/>
        <v>125</v>
      </c>
      <c r="AE48" s="22">
        <f t="shared" si="19"/>
        <v>360</v>
      </c>
      <c r="AF48" s="22">
        <f t="shared" si="20"/>
        <v>0</v>
      </c>
      <c r="AG48" s="22">
        <f t="shared" si="21"/>
        <v>1215.3</v>
      </c>
    </row>
    <row r="49" spans="1:33" ht="30" x14ac:dyDescent="0.25">
      <c r="A49" s="59" t="s">
        <v>107</v>
      </c>
      <c r="B49" s="38" t="s">
        <v>146</v>
      </c>
      <c r="C49" s="38" t="s">
        <v>90</v>
      </c>
      <c r="D49" s="47">
        <v>134.5</v>
      </c>
      <c r="E49" s="47">
        <v>59</v>
      </c>
      <c r="F49" s="40">
        <v>1</v>
      </c>
      <c r="G49" s="40">
        <v>1</v>
      </c>
      <c r="H49" s="51">
        <v>200</v>
      </c>
      <c r="I49" s="41">
        <v>1</v>
      </c>
      <c r="J49" s="45">
        <v>200</v>
      </c>
      <c r="K49" s="45">
        <f>12*45</f>
        <v>540</v>
      </c>
      <c r="L49" s="45">
        <v>0</v>
      </c>
      <c r="M49" s="45">
        <f t="shared" si="11"/>
        <v>2322</v>
      </c>
      <c r="N49" s="45">
        <f t="shared" si="12"/>
        <v>1315.3</v>
      </c>
      <c r="O49" s="68">
        <f t="shared" si="13"/>
        <v>0.56645133505598622</v>
      </c>
      <c r="P49" s="5"/>
      <c r="R49" s="22">
        <f>'Jouw wensen'!$G$3</f>
        <v>230.3</v>
      </c>
      <c r="S49" s="22">
        <f>'Jouw wensen'!$G$4</f>
        <v>365</v>
      </c>
      <c r="T49" s="22">
        <f>'Jouw wensen'!$G$5</f>
        <v>200</v>
      </c>
      <c r="U49" s="22">
        <f>'Jouw wensen'!$G$6</f>
        <v>35</v>
      </c>
      <c r="V49" s="22">
        <f>'Jouw wensen'!$G$7</f>
        <v>125</v>
      </c>
      <c r="W49" s="22">
        <f>'Jouw wensen'!$G$8</f>
        <v>360</v>
      </c>
      <c r="X49" s="22">
        <f>'Jouw wensen'!$G$9</f>
        <v>80</v>
      </c>
      <c r="Z49" s="22">
        <f t="shared" si="14"/>
        <v>230.3</v>
      </c>
      <c r="AA49" s="22">
        <f t="shared" si="15"/>
        <v>365</v>
      </c>
      <c r="AB49" s="22">
        <f t="shared" si="16"/>
        <v>200</v>
      </c>
      <c r="AC49" s="22">
        <f t="shared" si="17"/>
        <v>35</v>
      </c>
      <c r="AD49" s="22">
        <f t="shared" si="18"/>
        <v>125</v>
      </c>
      <c r="AE49" s="22">
        <f t="shared" si="19"/>
        <v>360</v>
      </c>
      <c r="AF49" s="22">
        <f t="shared" si="20"/>
        <v>0</v>
      </c>
      <c r="AG49" s="22">
        <f t="shared" si="21"/>
        <v>1315.3</v>
      </c>
    </row>
    <row r="50" spans="1:33" ht="75" x14ac:dyDescent="0.25">
      <c r="A50" s="59" t="s">
        <v>82</v>
      </c>
      <c r="B50" s="38" t="s">
        <v>83</v>
      </c>
      <c r="C50" s="38" t="s">
        <v>118</v>
      </c>
      <c r="D50" s="47">
        <v>127.77</v>
      </c>
      <c r="E50" s="48">
        <v>19.489999999999998</v>
      </c>
      <c r="F50" s="42">
        <v>1</v>
      </c>
      <c r="G50" s="42">
        <f>250/365</f>
        <v>0.68493150684931503</v>
      </c>
      <c r="H50" s="50">
        <v>0</v>
      </c>
      <c r="I50" s="43">
        <v>1</v>
      </c>
      <c r="J50" s="49">
        <v>200</v>
      </c>
      <c r="K50" s="49">
        <f>16*45</f>
        <v>720</v>
      </c>
      <c r="L50" s="45">
        <v>0</v>
      </c>
      <c r="M50" s="45">
        <f t="shared" si="11"/>
        <v>1767.12</v>
      </c>
      <c r="N50" s="45">
        <f t="shared" si="12"/>
        <v>1000.3</v>
      </c>
      <c r="O50" s="68">
        <f t="shared" si="13"/>
        <v>0.56606229344922809</v>
      </c>
      <c r="P50" s="5" t="s">
        <v>81</v>
      </c>
      <c r="R50" s="22">
        <f>'Jouw wensen'!$G$3</f>
        <v>230.3</v>
      </c>
      <c r="S50" s="22">
        <f>'Jouw wensen'!$G$4</f>
        <v>365</v>
      </c>
      <c r="T50" s="22">
        <f>'Jouw wensen'!$G$5</f>
        <v>200</v>
      </c>
      <c r="U50" s="22">
        <f>'Jouw wensen'!$G$6</f>
        <v>35</v>
      </c>
      <c r="V50" s="22">
        <f>'Jouw wensen'!$G$7</f>
        <v>125</v>
      </c>
      <c r="W50" s="22">
        <f>'Jouw wensen'!$G$8</f>
        <v>360</v>
      </c>
      <c r="X50" s="22">
        <f>'Jouw wensen'!$G$9</f>
        <v>80</v>
      </c>
      <c r="Z50" s="22">
        <f t="shared" si="14"/>
        <v>230.3</v>
      </c>
      <c r="AA50" s="22">
        <f t="shared" si="15"/>
        <v>250</v>
      </c>
      <c r="AB50" s="22">
        <f t="shared" si="16"/>
        <v>0</v>
      </c>
      <c r="AC50" s="22">
        <f t="shared" si="17"/>
        <v>35</v>
      </c>
      <c r="AD50" s="22">
        <f t="shared" si="18"/>
        <v>125</v>
      </c>
      <c r="AE50" s="22">
        <f t="shared" si="19"/>
        <v>360</v>
      </c>
      <c r="AF50" s="22">
        <f t="shared" si="20"/>
        <v>0</v>
      </c>
      <c r="AG50" s="22">
        <f t="shared" si="21"/>
        <v>1000.3</v>
      </c>
    </row>
    <row r="51" spans="1:33" ht="30" x14ac:dyDescent="0.25">
      <c r="A51" s="59" t="s">
        <v>119</v>
      </c>
      <c r="B51" s="38" t="s">
        <v>128</v>
      </c>
      <c r="C51" s="38" t="s">
        <v>124</v>
      </c>
      <c r="D51" s="47">
        <v>132.65</v>
      </c>
      <c r="E51" s="47">
        <v>47.65</v>
      </c>
      <c r="F51" s="40">
        <v>1</v>
      </c>
      <c r="G51" s="40">
        <v>1</v>
      </c>
      <c r="H51" s="51">
        <v>100</v>
      </c>
      <c r="I51" s="41">
        <v>1</v>
      </c>
      <c r="J51" s="45">
        <v>200</v>
      </c>
      <c r="K51" s="45">
        <f>24*45</f>
        <v>1080</v>
      </c>
      <c r="L51" s="45">
        <v>0</v>
      </c>
      <c r="M51" s="45">
        <f t="shared" si="11"/>
        <v>2163.6000000000004</v>
      </c>
      <c r="N51" s="45">
        <f t="shared" si="12"/>
        <v>1215.3</v>
      </c>
      <c r="O51" s="68">
        <f t="shared" si="13"/>
        <v>0.56170271769273417</v>
      </c>
      <c r="P51" s="5"/>
      <c r="R51" s="22">
        <f>'Jouw wensen'!$G$3</f>
        <v>230.3</v>
      </c>
      <c r="S51" s="22">
        <f>'Jouw wensen'!$G$4</f>
        <v>365</v>
      </c>
      <c r="T51" s="22">
        <f>'Jouw wensen'!$G$5</f>
        <v>200</v>
      </c>
      <c r="U51" s="22">
        <f>'Jouw wensen'!$G$6</f>
        <v>35</v>
      </c>
      <c r="V51" s="22">
        <f>'Jouw wensen'!$G$7</f>
        <v>125</v>
      </c>
      <c r="W51" s="22">
        <f>'Jouw wensen'!$G$8</f>
        <v>360</v>
      </c>
      <c r="X51" s="22">
        <f>'Jouw wensen'!$G$9</f>
        <v>80</v>
      </c>
      <c r="Z51" s="22">
        <f t="shared" si="14"/>
        <v>230.3</v>
      </c>
      <c r="AA51" s="22">
        <f t="shared" si="15"/>
        <v>365</v>
      </c>
      <c r="AB51" s="22">
        <f t="shared" si="16"/>
        <v>100</v>
      </c>
      <c r="AC51" s="22">
        <f t="shared" si="17"/>
        <v>35</v>
      </c>
      <c r="AD51" s="22">
        <f t="shared" si="18"/>
        <v>125</v>
      </c>
      <c r="AE51" s="22">
        <f t="shared" si="19"/>
        <v>360</v>
      </c>
      <c r="AF51" s="22">
        <f t="shared" si="20"/>
        <v>0</v>
      </c>
      <c r="AG51" s="22">
        <f t="shared" si="21"/>
        <v>1215.3</v>
      </c>
    </row>
    <row r="52" spans="1:33" ht="45" x14ac:dyDescent="0.25">
      <c r="A52" s="59" t="s">
        <v>89</v>
      </c>
      <c r="B52" s="38" t="s">
        <v>93</v>
      </c>
      <c r="C52" s="38" t="s">
        <v>90</v>
      </c>
      <c r="D52" s="47">
        <v>117.3</v>
      </c>
      <c r="E52" s="47">
        <v>72.5</v>
      </c>
      <c r="F52" s="40">
        <v>1</v>
      </c>
      <c r="G52" s="40">
        <v>1</v>
      </c>
      <c r="H52" s="51">
        <v>75</v>
      </c>
      <c r="I52" s="41">
        <v>1</v>
      </c>
      <c r="J52" s="45">
        <v>175</v>
      </c>
      <c r="K52" s="45">
        <f>36*45</f>
        <v>1620</v>
      </c>
      <c r="L52" s="45">
        <v>75</v>
      </c>
      <c r="M52" s="45">
        <f t="shared" si="11"/>
        <v>2277.6000000000004</v>
      </c>
      <c r="N52" s="45">
        <f t="shared" si="12"/>
        <v>1265.3</v>
      </c>
      <c r="O52" s="68">
        <f t="shared" si="13"/>
        <v>0.55554092026694757</v>
      </c>
      <c r="P52" s="5"/>
      <c r="R52" s="22">
        <f>'Jouw wensen'!$G$3</f>
        <v>230.3</v>
      </c>
      <c r="S52" s="22">
        <f>'Jouw wensen'!$G$4</f>
        <v>365</v>
      </c>
      <c r="T52" s="22">
        <f>'Jouw wensen'!$G$5</f>
        <v>200</v>
      </c>
      <c r="U52" s="22">
        <f>'Jouw wensen'!$G$6</f>
        <v>35</v>
      </c>
      <c r="V52" s="22">
        <f>'Jouw wensen'!$G$7</f>
        <v>125</v>
      </c>
      <c r="W52" s="22">
        <f>'Jouw wensen'!$G$8</f>
        <v>360</v>
      </c>
      <c r="X52" s="22">
        <f>'Jouw wensen'!$G$9</f>
        <v>80</v>
      </c>
      <c r="Z52" s="22">
        <f t="shared" si="14"/>
        <v>230.3</v>
      </c>
      <c r="AA52" s="22">
        <f t="shared" si="15"/>
        <v>365</v>
      </c>
      <c r="AB52" s="22">
        <f t="shared" si="16"/>
        <v>75</v>
      </c>
      <c r="AC52" s="22">
        <f t="shared" si="17"/>
        <v>35</v>
      </c>
      <c r="AD52" s="22">
        <f t="shared" si="18"/>
        <v>125</v>
      </c>
      <c r="AE52" s="22">
        <f t="shared" si="19"/>
        <v>360</v>
      </c>
      <c r="AF52" s="22">
        <f t="shared" si="20"/>
        <v>75</v>
      </c>
      <c r="AG52" s="22">
        <f t="shared" si="21"/>
        <v>1265.3</v>
      </c>
    </row>
    <row r="53" spans="1:33" ht="45" hidden="1" x14ac:dyDescent="0.25">
      <c r="A53" s="59" t="s">
        <v>108</v>
      </c>
      <c r="B53" s="38" t="s">
        <v>112</v>
      </c>
      <c r="C53" s="38" t="s">
        <v>118</v>
      </c>
      <c r="D53" s="47">
        <v>143.94999999999999</v>
      </c>
      <c r="E53" s="47">
        <v>20.25</v>
      </c>
      <c r="F53" s="40">
        <f>125/230.3</f>
        <v>0.54277029960920531</v>
      </c>
      <c r="G53" s="40">
        <v>1</v>
      </c>
      <c r="H53" s="51">
        <v>50</v>
      </c>
      <c r="I53" s="41">
        <v>1</v>
      </c>
      <c r="J53" s="45">
        <v>80</v>
      </c>
      <c r="K53" s="45">
        <f>12*48</f>
        <v>576</v>
      </c>
      <c r="L53" s="45">
        <v>75</v>
      </c>
      <c r="M53" s="45">
        <f t="shared" si="11"/>
        <v>1970.3999999999999</v>
      </c>
      <c r="N53" s="45">
        <f t="shared" si="12"/>
        <v>1090</v>
      </c>
      <c r="O53" s="68">
        <f t="shared" si="13"/>
        <v>0.55318717011774265</v>
      </c>
      <c r="P53" s="5" t="s">
        <v>176</v>
      </c>
      <c r="R53" s="22">
        <f>'Jouw wensen'!$G$3</f>
        <v>230.3</v>
      </c>
      <c r="S53" s="22">
        <f>'Jouw wensen'!$G$4</f>
        <v>365</v>
      </c>
      <c r="T53" s="22">
        <f>'Jouw wensen'!$G$5</f>
        <v>200</v>
      </c>
      <c r="U53" s="22">
        <f>'Jouw wensen'!$G$6</f>
        <v>35</v>
      </c>
      <c r="V53" s="22">
        <f>'Jouw wensen'!$G$7</f>
        <v>125</v>
      </c>
      <c r="W53" s="22">
        <f>'Jouw wensen'!$G$8</f>
        <v>360</v>
      </c>
      <c r="X53" s="22">
        <f>'Jouw wensen'!$G$9</f>
        <v>80</v>
      </c>
      <c r="Z53" s="22">
        <f t="shared" si="14"/>
        <v>124.99999999999999</v>
      </c>
      <c r="AA53" s="22">
        <f t="shared" si="15"/>
        <v>365</v>
      </c>
      <c r="AB53" s="22">
        <f t="shared" si="16"/>
        <v>50</v>
      </c>
      <c r="AC53" s="22">
        <f t="shared" si="17"/>
        <v>35</v>
      </c>
      <c r="AD53" s="22">
        <f t="shared" si="18"/>
        <v>80</v>
      </c>
      <c r="AE53" s="22">
        <f t="shared" si="19"/>
        <v>360</v>
      </c>
      <c r="AF53" s="22">
        <f t="shared" si="20"/>
        <v>75</v>
      </c>
      <c r="AG53" s="22">
        <f t="shared" si="21"/>
        <v>1090</v>
      </c>
    </row>
    <row r="54" spans="1:33" ht="30" hidden="1" x14ac:dyDescent="0.25">
      <c r="A54" s="59" t="s">
        <v>119</v>
      </c>
      <c r="B54" s="38" t="s">
        <v>126</v>
      </c>
      <c r="C54" s="38" t="s">
        <v>124</v>
      </c>
      <c r="D54" s="47">
        <v>132.65</v>
      </c>
      <c r="E54" s="47">
        <v>16.5</v>
      </c>
      <c r="F54" s="40">
        <v>0</v>
      </c>
      <c r="G54" s="40">
        <v>1</v>
      </c>
      <c r="H54" s="51">
        <v>100</v>
      </c>
      <c r="I54" s="41">
        <v>1</v>
      </c>
      <c r="J54" s="45">
        <v>200</v>
      </c>
      <c r="K54" s="45">
        <f>16*45</f>
        <v>720</v>
      </c>
      <c r="L54" s="45">
        <v>0</v>
      </c>
      <c r="M54" s="45">
        <f t="shared" si="11"/>
        <v>1789.8000000000002</v>
      </c>
      <c r="N54" s="45">
        <f t="shared" si="12"/>
        <v>985</v>
      </c>
      <c r="O54" s="68">
        <f t="shared" si="13"/>
        <v>0.5503408202033746</v>
      </c>
      <c r="P54" s="5"/>
      <c r="R54" s="22">
        <f>'Jouw wensen'!$G$3</f>
        <v>230.3</v>
      </c>
      <c r="S54" s="22">
        <f>'Jouw wensen'!$G$4</f>
        <v>365</v>
      </c>
      <c r="T54" s="22">
        <f>'Jouw wensen'!$G$5</f>
        <v>200</v>
      </c>
      <c r="U54" s="22">
        <f>'Jouw wensen'!$G$6</f>
        <v>35</v>
      </c>
      <c r="V54" s="22">
        <f>'Jouw wensen'!$G$7</f>
        <v>125</v>
      </c>
      <c r="W54" s="22">
        <f>'Jouw wensen'!$G$8</f>
        <v>360</v>
      </c>
      <c r="X54" s="22">
        <f>'Jouw wensen'!$G$9</f>
        <v>80</v>
      </c>
      <c r="Z54" s="22">
        <f t="shared" si="14"/>
        <v>0</v>
      </c>
      <c r="AA54" s="22">
        <f t="shared" si="15"/>
        <v>365</v>
      </c>
      <c r="AB54" s="22">
        <f t="shared" si="16"/>
        <v>100</v>
      </c>
      <c r="AC54" s="22">
        <f t="shared" si="17"/>
        <v>35</v>
      </c>
      <c r="AD54" s="22">
        <f t="shared" si="18"/>
        <v>125</v>
      </c>
      <c r="AE54" s="22">
        <f t="shared" si="19"/>
        <v>360</v>
      </c>
      <c r="AF54" s="22">
        <f t="shared" si="20"/>
        <v>0</v>
      </c>
      <c r="AG54" s="22">
        <f t="shared" si="21"/>
        <v>985</v>
      </c>
    </row>
    <row r="55" spans="1:33" ht="135" x14ac:dyDescent="0.25">
      <c r="A55" s="59" t="s">
        <v>67</v>
      </c>
      <c r="B55" s="38" t="s">
        <v>71</v>
      </c>
      <c r="C55" s="38" t="s">
        <v>118</v>
      </c>
      <c r="D55" s="47">
        <v>134.5</v>
      </c>
      <c r="E55" s="48">
        <v>64.87</v>
      </c>
      <c r="F55" s="42">
        <v>1</v>
      </c>
      <c r="G55" s="42">
        <v>1</v>
      </c>
      <c r="H55" s="50">
        <v>250</v>
      </c>
      <c r="I55" s="43">
        <v>1</v>
      </c>
      <c r="J55" s="49">
        <v>300</v>
      </c>
      <c r="K55" s="49">
        <f>50*45</f>
        <v>2250</v>
      </c>
      <c r="L55" s="45">
        <v>0</v>
      </c>
      <c r="M55" s="45">
        <f t="shared" si="11"/>
        <v>2392.44</v>
      </c>
      <c r="N55" s="45">
        <f t="shared" si="12"/>
        <v>1315.3</v>
      </c>
      <c r="O55" s="68">
        <f t="shared" si="13"/>
        <v>0.54977345304375447</v>
      </c>
      <c r="P55" s="5" t="s">
        <v>80</v>
      </c>
      <c r="R55" s="22">
        <f>'Jouw wensen'!$G$3</f>
        <v>230.3</v>
      </c>
      <c r="S55" s="22">
        <f>'Jouw wensen'!$G$4</f>
        <v>365</v>
      </c>
      <c r="T55" s="22">
        <f>'Jouw wensen'!$G$5</f>
        <v>200</v>
      </c>
      <c r="U55" s="22">
        <f>'Jouw wensen'!$G$6</f>
        <v>35</v>
      </c>
      <c r="V55" s="22">
        <f>'Jouw wensen'!$G$7</f>
        <v>125</v>
      </c>
      <c r="W55" s="22">
        <f>'Jouw wensen'!$G$8</f>
        <v>360</v>
      </c>
      <c r="X55" s="22">
        <f>'Jouw wensen'!$G$9</f>
        <v>80</v>
      </c>
      <c r="Z55" s="22">
        <f t="shared" si="14"/>
        <v>230.3</v>
      </c>
      <c r="AA55" s="22">
        <f t="shared" si="15"/>
        <v>365</v>
      </c>
      <c r="AB55" s="22">
        <f t="shared" si="16"/>
        <v>200</v>
      </c>
      <c r="AC55" s="22">
        <f t="shared" si="17"/>
        <v>35</v>
      </c>
      <c r="AD55" s="22">
        <f t="shared" si="18"/>
        <v>125</v>
      </c>
      <c r="AE55" s="22">
        <f t="shared" si="19"/>
        <v>360</v>
      </c>
      <c r="AF55" s="22">
        <f t="shared" si="20"/>
        <v>0</v>
      </c>
      <c r="AG55" s="22">
        <f t="shared" si="21"/>
        <v>1315.3</v>
      </c>
    </row>
    <row r="56" spans="1:33" ht="45" x14ac:dyDescent="0.25">
      <c r="A56" s="59" t="s">
        <v>108</v>
      </c>
      <c r="B56" s="38" t="s">
        <v>116</v>
      </c>
      <c r="C56" s="38" t="s">
        <v>118</v>
      </c>
      <c r="D56" s="47">
        <v>143.94999999999999</v>
      </c>
      <c r="E56" s="47">
        <v>37.25</v>
      </c>
      <c r="F56" s="40">
        <v>1</v>
      </c>
      <c r="G56" s="40">
        <v>1</v>
      </c>
      <c r="H56" s="51">
        <v>50</v>
      </c>
      <c r="I56" s="41">
        <v>1</v>
      </c>
      <c r="J56" s="45">
        <v>80</v>
      </c>
      <c r="K56" s="45">
        <f>27*45</f>
        <v>1215</v>
      </c>
      <c r="L56" s="45">
        <v>75</v>
      </c>
      <c r="M56" s="45">
        <f t="shared" si="11"/>
        <v>2174.3999999999996</v>
      </c>
      <c r="N56" s="45">
        <f t="shared" si="12"/>
        <v>1195.3</v>
      </c>
      <c r="O56" s="68">
        <f t="shared" si="13"/>
        <v>0.54971486387049306</v>
      </c>
      <c r="P56" s="5"/>
      <c r="R56" s="22">
        <f>'Jouw wensen'!$G$3</f>
        <v>230.3</v>
      </c>
      <c r="S56" s="22">
        <f>'Jouw wensen'!$G$4</f>
        <v>365</v>
      </c>
      <c r="T56" s="22">
        <f>'Jouw wensen'!$G$5</f>
        <v>200</v>
      </c>
      <c r="U56" s="22">
        <f>'Jouw wensen'!$G$6</f>
        <v>35</v>
      </c>
      <c r="V56" s="22">
        <f>'Jouw wensen'!$G$7</f>
        <v>125</v>
      </c>
      <c r="W56" s="22">
        <f>'Jouw wensen'!$G$8</f>
        <v>360</v>
      </c>
      <c r="X56" s="22">
        <f>'Jouw wensen'!$G$9</f>
        <v>80</v>
      </c>
      <c r="Z56" s="22">
        <f t="shared" si="14"/>
        <v>230.3</v>
      </c>
      <c r="AA56" s="22">
        <f t="shared" si="15"/>
        <v>365</v>
      </c>
      <c r="AB56" s="22">
        <f t="shared" si="16"/>
        <v>50</v>
      </c>
      <c r="AC56" s="22">
        <f t="shared" si="17"/>
        <v>35</v>
      </c>
      <c r="AD56" s="22">
        <f t="shared" si="18"/>
        <v>80</v>
      </c>
      <c r="AE56" s="22">
        <f t="shared" si="19"/>
        <v>360</v>
      </c>
      <c r="AF56" s="22">
        <f t="shared" si="20"/>
        <v>75</v>
      </c>
      <c r="AG56" s="22">
        <f t="shared" si="21"/>
        <v>1195.3</v>
      </c>
    </row>
    <row r="57" spans="1:33" ht="30" x14ac:dyDescent="0.25">
      <c r="A57" s="59" t="s">
        <v>106</v>
      </c>
      <c r="B57" s="38" t="s">
        <v>163</v>
      </c>
      <c r="C57" s="38" t="s">
        <v>75</v>
      </c>
      <c r="D57" s="47">
        <v>129.85</v>
      </c>
      <c r="E57" s="47">
        <v>56.5</v>
      </c>
      <c r="F57" s="40">
        <v>1</v>
      </c>
      <c r="G57" s="40">
        <f>300/365</f>
        <v>0.82191780821917804</v>
      </c>
      <c r="H57" s="51">
        <v>100</v>
      </c>
      <c r="I57" s="41">
        <v>1</v>
      </c>
      <c r="J57" s="45">
        <v>150</v>
      </c>
      <c r="K57" s="45">
        <f>25*45</f>
        <v>1125</v>
      </c>
      <c r="L57" s="45">
        <v>75</v>
      </c>
      <c r="M57" s="45">
        <f t="shared" si="11"/>
        <v>2236.1999999999998</v>
      </c>
      <c r="N57" s="45">
        <f t="shared" si="12"/>
        <v>1225.3</v>
      </c>
      <c r="O57" s="68">
        <f t="shared" si="13"/>
        <v>0.54793846704230398</v>
      </c>
      <c r="P57" s="5" t="s">
        <v>161</v>
      </c>
      <c r="R57" s="22">
        <f>'Jouw wensen'!$G$3</f>
        <v>230.3</v>
      </c>
      <c r="S57" s="22">
        <f>'Jouw wensen'!$G$4</f>
        <v>365</v>
      </c>
      <c r="T57" s="22">
        <f>'Jouw wensen'!$G$5</f>
        <v>200</v>
      </c>
      <c r="U57" s="22">
        <f>'Jouw wensen'!$G$6</f>
        <v>35</v>
      </c>
      <c r="V57" s="22">
        <f>'Jouw wensen'!$G$7</f>
        <v>125</v>
      </c>
      <c r="W57" s="22">
        <f>'Jouw wensen'!$G$8</f>
        <v>360</v>
      </c>
      <c r="X57" s="22">
        <f>'Jouw wensen'!$G$9</f>
        <v>80</v>
      </c>
      <c r="Z57" s="22">
        <f t="shared" si="14"/>
        <v>230.3</v>
      </c>
      <c r="AA57" s="22">
        <f t="shared" si="15"/>
        <v>300</v>
      </c>
      <c r="AB57" s="22">
        <f t="shared" si="16"/>
        <v>100</v>
      </c>
      <c r="AC57" s="22">
        <f t="shared" si="17"/>
        <v>35</v>
      </c>
      <c r="AD57" s="22">
        <f t="shared" si="18"/>
        <v>125</v>
      </c>
      <c r="AE57" s="22">
        <f t="shared" si="19"/>
        <v>360</v>
      </c>
      <c r="AF57" s="22">
        <f t="shared" si="20"/>
        <v>75</v>
      </c>
      <c r="AG57" s="22">
        <f t="shared" si="21"/>
        <v>1225.3</v>
      </c>
    </row>
    <row r="58" spans="1:33" ht="30" x14ac:dyDescent="0.25">
      <c r="A58" s="59" t="s">
        <v>119</v>
      </c>
      <c r="B58" s="38" t="s">
        <v>130</v>
      </c>
      <c r="C58" s="38" t="s">
        <v>118</v>
      </c>
      <c r="D58" s="47">
        <v>138.55000000000001</v>
      </c>
      <c r="E58" s="47">
        <v>47.65</v>
      </c>
      <c r="F58" s="40">
        <v>1</v>
      </c>
      <c r="G58" s="40">
        <v>1</v>
      </c>
      <c r="H58" s="51">
        <v>100</v>
      </c>
      <c r="I58" s="41">
        <v>1</v>
      </c>
      <c r="J58" s="45">
        <v>200</v>
      </c>
      <c r="K58" s="45">
        <f>24*45</f>
        <v>1080</v>
      </c>
      <c r="L58" s="45">
        <v>0</v>
      </c>
      <c r="M58" s="45">
        <f t="shared" si="11"/>
        <v>2234.4</v>
      </c>
      <c r="N58" s="45">
        <f t="shared" si="12"/>
        <v>1215.3</v>
      </c>
      <c r="O58" s="68">
        <f t="shared" si="13"/>
        <v>0.54390440386680983</v>
      </c>
      <c r="P58" s="5"/>
      <c r="R58" s="22">
        <f>'Jouw wensen'!$G$3</f>
        <v>230.3</v>
      </c>
      <c r="S58" s="22">
        <f>'Jouw wensen'!$G$4</f>
        <v>365</v>
      </c>
      <c r="T58" s="22">
        <f>'Jouw wensen'!$G$5</f>
        <v>200</v>
      </c>
      <c r="U58" s="22">
        <f>'Jouw wensen'!$G$6</f>
        <v>35</v>
      </c>
      <c r="V58" s="22">
        <f>'Jouw wensen'!$G$7</f>
        <v>125</v>
      </c>
      <c r="W58" s="22">
        <f>'Jouw wensen'!$G$8</f>
        <v>360</v>
      </c>
      <c r="X58" s="22">
        <f>'Jouw wensen'!$G$9</f>
        <v>80</v>
      </c>
      <c r="Z58" s="22">
        <f t="shared" si="14"/>
        <v>230.3</v>
      </c>
      <c r="AA58" s="22">
        <f t="shared" si="15"/>
        <v>365</v>
      </c>
      <c r="AB58" s="22">
        <f t="shared" si="16"/>
        <v>100</v>
      </c>
      <c r="AC58" s="22">
        <f t="shared" si="17"/>
        <v>35</v>
      </c>
      <c r="AD58" s="22">
        <f t="shared" si="18"/>
        <v>125</v>
      </c>
      <c r="AE58" s="22">
        <f t="shared" si="19"/>
        <v>360</v>
      </c>
      <c r="AF58" s="22">
        <f t="shared" si="20"/>
        <v>0</v>
      </c>
      <c r="AG58" s="22">
        <f t="shared" si="21"/>
        <v>1215.3</v>
      </c>
    </row>
    <row r="59" spans="1:33" ht="60" x14ac:dyDescent="0.25">
      <c r="A59" s="59" t="s">
        <v>61</v>
      </c>
      <c r="B59" s="38" t="s">
        <v>66</v>
      </c>
      <c r="C59" s="38" t="s">
        <v>118</v>
      </c>
      <c r="D59" s="47">
        <v>143.75</v>
      </c>
      <c r="E59" s="47">
        <v>43.5</v>
      </c>
      <c r="F59" s="40">
        <v>1</v>
      </c>
      <c r="G59" s="40">
        <v>1</v>
      </c>
      <c r="H59" s="51">
        <v>100</v>
      </c>
      <c r="I59" s="41">
        <v>1</v>
      </c>
      <c r="J59" s="45">
        <v>200</v>
      </c>
      <c r="K59" s="45">
        <f>20*45</f>
        <v>900</v>
      </c>
      <c r="L59" s="49">
        <v>0</v>
      </c>
      <c r="M59" s="45">
        <f t="shared" si="11"/>
        <v>2247</v>
      </c>
      <c r="N59" s="45">
        <f t="shared" si="12"/>
        <v>1215.3</v>
      </c>
      <c r="O59" s="68">
        <f t="shared" si="13"/>
        <v>0.5408544726301735</v>
      </c>
      <c r="P59" s="5" t="s">
        <v>78</v>
      </c>
      <c r="R59" s="22">
        <f>'Jouw wensen'!$G$3</f>
        <v>230.3</v>
      </c>
      <c r="S59" s="22">
        <f>'Jouw wensen'!$G$4</f>
        <v>365</v>
      </c>
      <c r="T59" s="22">
        <f>'Jouw wensen'!$G$5</f>
        <v>200</v>
      </c>
      <c r="U59" s="22">
        <f>'Jouw wensen'!$G$6</f>
        <v>35</v>
      </c>
      <c r="V59" s="22">
        <f>'Jouw wensen'!$G$7</f>
        <v>125</v>
      </c>
      <c r="W59" s="22">
        <f>'Jouw wensen'!$G$8</f>
        <v>360</v>
      </c>
      <c r="X59" s="22">
        <f>'Jouw wensen'!$G$9</f>
        <v>80</v>
      </c>
      <c r="Z59" s="22">
        <f t="shared" si="14"/>
        <v>230.3</v>
      </c>
      <c r="AA59" s="22">
        <f t="shared" si="15"/>
        <v>365</v>
      </c>
      <c r="AB59" s="22">
        <f t="shared" si="16"/>
        <v>100</v>
      </c>
      <c r="AC59" s="22">
        <f t="shared" si="17"/>
        <v>35</v>
      </c>
      <c r="AD59" s="22">
        <f t="shared" si="18"/>
        <v>125</v>
      </c>
      <c r="AE59" s="22">
        <f t="shared" si="19"/>
        <v>360</v>
      </c>
      <c r="AF59" s="22">
        <f t="shared" si="20"/>
        <v>0</v>
      </c>
      <c r="AG59" s="22">
        <f t="shared" si="21"/>
        <v>1215.3</v>
      </c>
    </row>
    <row r="60" spans="1:33" ht="30" hidden="1" x14ac:dyDescent="0.25">
      <c r="A60" s="59" t="s">
        <v>103</v>
      </c>
      <c r="B60" s="38" t="s">
        <v>142</v>
      </c>
      <c r="C60" s="38" t="s">
        <v>118</v>
      </c>
      <c r="D60" s="47">
        <v>132.15</v>
      </c>
      <c r="E60" s="47">
        <v>25.25</v>
      </c>
      <c r="F60" s="40">
        <f>150/230.3</f>
        <v>0.65132435953104639</v>
      </c>
      <c r="G60" s="40">
        <f>150/365</f>
        <v>0.41095890410958902</v>
      </c>
      <c r="H60" s="51">
        <v>200</v>
      </c>
      <c r="I60" s="41">
        <v>1</v>
      </c>
      <c r="J60" s="45">
        <v>200</v>
      </c>
      <c r="K60" s="45">
        <f>9*45</f>
        <v>405</v>
      </c>
      <c r="L60" s="45">
        <v>0</v>
      </c>
      <c r="M60" s="45">
        <f t="shared" si="11"/>
        <v>1888.8000000000002</v>
      </c>
      <c r="N60" s="45">
        <f t="shared" si="12"/>
        <v>1020</v>
      </c>
      <c r="O60" s="68">
        <f t="shared" si="13"/>
        <v>0.54002541296060991</v>
      </c>
      <c r="P60" s="5"/>
      <c r="R60" s="22">
        <f>'Jouw wensen'!$G$3</f>
        <v>230.3</v>
      </c>
      <c r="S60" s="22">
        <f>'Jouw wensen'!$G$4</f>
        <v>365</v>
      </c>
      <c r="T60" s="22">
        <f>'Jouw wensen'!$G$5</f>
        <v>200</v>
      </c>
      <c r="U60" s="22">
        <f>'Jouw wensen'!$G$6</f>
        <v>35</v>
      </c>
      <c r="V60" s="22">
        <f>'Jouw wensen'!$G$7</f>
        <v>125</v>
      </c>
      <c r="W60" s="22">
        <f>'Jouw wensen'!$G$8</f>
        <v>360</v>
      </c>
      <c r="X60" s="22">
        <f>'Jouw wensen'!$G$9</f>
        <v>80</v>
      </c>
      <c r="Z60" s="22">
        <f t="shared" si="14"/>
        <v>150</v>
      </c>
      <c r="AA60" s="22">
        <f t="shared" si="15"/>
        <v>150</v>
      </c>
      <c r="AB60" s="22">
        <f t="shared" si="16"/>
        <v>200</v>
      </c>
      <c r="AC60" s="22">
        <f t="shared" si="17"/>
        <v>35</v>
      </c>
      <c r="AD60" s="22">
        <f t="shared" si="18"/>
        <v>125</v>
      </c>
      <c r="AE60" s="22">
        <f t="shared" si="19"/>
        <v>360</v>
      </c>
      <c r="AF60" s="22">
        <f t="shared" si="20"/>
        <v>0</v>
      </c>
      <c r="AG60" s="22">
        <f t="shared" si="21"/>
        <v>1020</v>
      </c>
    </row>
    <row r="61" spans="1:33" ht="60" x14ac:dyDescent="0.25">
      <c r="A61" s="59" t="s">
        <v>51</v>
      </c>
      <c r="B61" s="38" t="s">
        <v>52</v>
      </c>
      <c r="C61" s="38" t="s">
        <v>118</v>
      </c>
      <c r="D61" s="47">
        <v>134.4</v>
      </c>
      <c r="E61" s="47">
        <v>20.6</v>
      </c>
      <c r="F61" s="42">
        <v>1</v>
      </c>
      <c r="G61" s="42">
        <f>250/365</f>
        <v>0.68493150684931503</v>
      </c>
      <c r="H61" s="51">
        <v>0</v>
      </c>
      <c r="I61" s="41">
        <v>1</v>
      </c>
      <c r="J61" s="45">
        <v>200</v>
      </c>
      <c r="K61" s="45">
        <f>16*45</f>
        <v>720</v>
      </c>
      <c r="L61" s="45">
        <v>0</v>
      </c>
      <c r="M61" s="45">
        <f t="shared" si="11"/>
        <v>1860</v>
      </c>
      <c r="N61" s="45">
        <f t="shared" si="12"/>
        <v>1000.3</v>
      </c>
      <c r="O61" s="68">
        <f t="shared" si="13"/>
        <v>0.53779569892473111</v>
      </c>
      <c r="P61" s="5" t="s">
        <v>55</v>
      </c>
      <c r="R61" s="22">
        <f>'Jouw wensen'!$G$3</f>
        <v>230.3</v>
      </c>
      <c r="S61" s="22">
        <f>'Jouw wensen'!$G$4</f>
        <v>365</v>
      </c>
      <c r="T61" s="22">
        <f>'Jouw wensen'!$G$5</f>
        <v>200</v>
      </c>
      <c r="U61" s="22">
        <f>'Jouw wensen'!$G$6</f>
        <v>35</v>
      </c>
      <c r="V61" s="22">
        <f>'Jouw wensen'!$G$7</f>
        <v>125</v>
      </c>
      <c r="W61" s="22">
        <f>'Jouw wensen'!$G$8</f>
        <v>360</v>
      </c>
      <c r="X61" s="22">
        <f>'Jouw wensen'!$G$9</f>
        <v>80</v>
      </c>
      <c r="Z61" s="22">
        <f t="shared" si="14"/>
        <v>230.3</v>
      </c>
      <c r="AA61" s="22">
        <f t="shared" si="15"/>
        <v>250</v>
      </c>
      <c r="AB61" s="22">
        <f t="shared" si="16"/>
        <v>0</v>
      </c>
      <c r="AC61" s="22">
        <f t="shared" si="17"/>
        <v>35</v>
      </c>
      <c r="AD61" s="22">
        <f t="shared" si="18"/>
        <v>125</v>
      </c>
      <c r="AE61" s="22">
        <f t="shared" si="19"/>
        <v>360</v>
      </c>
      <c r="AF61" s="22">
        <f t="shared" si="20"/>
        <v>0</v>
      </c>
      <c r="AG61" s="22">
        <f t="shared" si="21"/>
        <v>1000.3</v>
      </c>
    </row>
    <row r="62" spans="1:33" ht="75" x14ac:dyDescent="0.25">
      <c r="A62" s="59" t="s">
        <v>67</v>
      </c>
      <c r="B62" s="38" t="s">
        <v>68</v>
      </c>
      <c r="C62" s="38" t="s">
        <v>118</v>
      </c>
      <c r="D62" s="47">
        <v>134.5</v>
      </c>
      <c r="E62" s="48">
        <v>20.6</v>
      </c>
      <c r="F62" s="42">
        <v>1</v>
      </c>
      <c r="G62" s="42">
        <f>250/365</f>
        <v>0.68493150684931503</v>
      </c>
      <c r="H62" s="50"/>
      <c r="I62" s="43">
        <v>1</v>
      </c>
      <c r="J62" s="49">
        <v>200</v>
      </c>
      <c r="K62" s="49">
        <f>16*45</f>
        <v>720</v>
      </c>
      <c r="L62" s="45">
        <v>0</v>
      </c>
      <c r="M62" s="45">
        <f t="shared" si="11"/>
        <v>1861.1999999999998</v>
      </c>
      <c r="N62" s="45">
        <f t="shared" si="12"/>
        <v>1000.3</v>
      </c>
      <c r="O62" s="68">
        <f t="shared" si="13"/>
        <v>0.53744895766172363</v>
      </c>
      <c r="P62" s="5" t="s">
        <v>81</v>
      </c>
      <c r="R62" s="22">
        <f>'Jouw wensen'!$G$3</f>
        <v>230.3</v>
      </c>
      <c r="S62" s="22">
        <f>'Jouw wensen'!$G$4</f>
        <v>365</v>
      </c>
      <c r="T62" s="22">
        <f>'Jouw wensen'!$G$5</f>
        <v>200</v>
      </c>
      <c r="U62" s="22">
        <f>'Jouw wensen'!$G$6</f>
        <v>35</v>
      </c>
      <c r="V62" s="22">
        <f>'Jouw wensen'!$G$7</f>
        <v>125</v>
      </c>
      <c r="W62" s="22">
        <f>'Jouw wensen'!$G$8</f>
        <v>360</v>
      </c>
      <c r="X62" s="22">
        <f>'Jouw wensen'!$G$9</f>
        <v>80</v>
      </c>
      <c r="Z62" s="22">
        <f t="shared" si="14"/>
        <v>230.3</v>
      </c>
      <c r="AA62" s="22">
        <f t="shared" si="15"/>
        <v>250</v>
      </c>
      <c r="AB62" s="22">
        <f t="shared" si="16"/>
        <v>0</v>
      </c>
      <c r="AC62" s="22">
        <f t="shared" si="17"/>
        <v>35</v>
      </c>
      <c r="AD62" s="22">
        <f t="shared" si="18"/>
        <v>125</v>
      </c>
      <c r="AE62" s="22">
        <f t="shared" si="19"/>
        <v>360</v>
      </c>
      <c r="AF62" s="22">
        <f t="shared" si="20"/>
        <v>0</v>
      </c>
      <c r="AG62" s="22">
        <f t="shared" si="21"/>
        <v>1000.3</v>
      </c>
    </row>
    <row r="63" spans="1:33" ht="30" x14ac:dyDescent="0.25">
      <c r="A63" s="59" t="s">
        <v>107</v>
      </c>
      <c r="B63" s="38" t="s">
        <v>147</v>
      </c>
      <c r="C63" s="38" t="s">
        <v>118</v>
      </c>
      <c r="D63" s="47">
        <v>145.25</v>
      </c>
      <c r="E63" s="47">
        <v>59</v>
      </c>
      <c r="F63" s="40">
        <v>1</v>
      </c>
      <c r="G63" s="40">
        <v>1</v>
      </c>
      <c r="H63" s="51">
        <v>200</v>
      </c>
      <c r="I63" s="41">
        <v>1</v>
      </c>
      <c r="J63" s="45">
        <v>200</v>
      </c>
      <c r="K63" s="45">
        <f>12*45</f>
        <v>540</v>
      </c>
      <c r="L63" s="45">
        <v>0</v>
      </c>
      <c r="M63" s="45">
        <f t="shared" si="11"/>
        <v>2451</v>
      </c>
      <c r="N63" s="45">
        <f t="shared" si="12"/>
        <v>1315.3</v>
      </c>
      <c r="O63" s="68">
        <f t="shared" si="13"/>
        <v>0.5366381068951448</v>
      </c>
      <c r="P63" s="5"/>
      <c r="R63" s="22">
        <f>'Jouw wensen'!$G$3</f>
        <v>230.3</v>
      </c>
      <c r="S63" s="22">
        <f>'Jouw wensen'!$G$4</f>
        <v>365</v>
      </c>
      <c r="T63" s="22">
        <f>'Jouw wensen'!$G$5</f>
        <v>200</v>
      </c>
      <c r="U63" s="22">
        <f>'Jouw wensen'!$G$6</f>
        <v>35</v>
      </c>
      <c r="V63" s="22">
        <f>'Jouw wensen'!$G$7</f>
        <v>125</v>
      </c>
      <c r="W63" s="22">
        <f>'Jouw wensen'!$G$8</f>
        <v>360</v>
      </c>
      <c r="X63" s="22">
        <f>'Jouw wensen'!$G$9</f>
        <v>80</v>
      </c>
      <c r="Z63" s="22">
        <f t="shared" si="14"/>
        <v>230.3</v>
      </c>
      <c r="AA63" s="22">
        <f t="shared" si="15"/>
        <v>365</v>
      </c>
      <c r="AB63" s="22">
        <f t="shared" si="16"/>
        <v>200</v>
      </c>
      <c r="AC63" s="22">
        <f t="shared" si="17"/>
        <v>35</v>
      </c>
      <c r="AD63" s="22">
        <f t="shared" si="18"/>
        <v>125</v>
      </c>
      <c r="AE63" s="22">
        <f t="shared" si="19"/>
        <v>360</v>
      </c>
      <c r="AF63" s="22">
        <f t="shared" si="20"/>
        <v>0</v>
      </c>
      <c r="AG63" s="22">
        <f t="shared" si="21"/>
        <v>1315.3</v>
      </c>
    </row>
    <row r="64" spans="1:33" ht="120" x14ac:dyDescent="0.25">
      <c r="A64" s="59" t="s">
        <v>51</v>
      </c>
      <c r="B64" s="38" t="s">
        <v>54</v>
      </c>
      <c r="C64" s="38" t="s">
        <v>118</v>
      </c>
      <c r="D64" s="47">
        <v>134.4</v>
      </c>
      <c r="E64" s="47">
        <v>64.87</v>
      </c>
      <c r="F64" s="42">
        <v>1</v>
      </c>
      <c r="G64" s="42">
        <v>1</v>
      </c>
      <c r="H64" s="50">
        <v>250</v>
      </c>
      <c r="I64" s="43">
        <v>0</v>
      </c>
      <c r="J64" s="49">
        <v>200</v>
      </c>
      <c r="K64" s="45">
        <f>50*45</f>
        <v>2250</v>
      </c>
      <c r="L64" s="45">
        <v>0</v>
      </c>
      <c r="M64" s="45">
        <f t="shared" si="11"/>
        <v>2391.2400000000002</v>
      </c>
      <c r="N64" s="45">
        <f t="shared" si="12"/>
        <v>1280.3</v>
      </c>
      <c r="O64" s="68">
        <f t="shared" si="13"/>
        <v>0.53541258928422064</v>
      </c>
      <c r="P64" s="5" t="s">
        <v>57</v>
      </c>
      <c r="R64" s="22">
        <f>'Jouw wensen'!$G$3</f>
        <v>230.3</v>
      </c>
      <c r="S64" s="22">
        <f>'Jouw wensen'!$G$4</f>
        <v>365</v>
      </c>
      <c r="T64" s="22">
        <f>'Jouw wensen'!$G$5</f>
        <v>200</v>
      </c>
      <c r="U64" s="22">
        <f>'Jouw wensen'!$G$6</f>
        <v>35</v>
      </c>
      <c r="V64" s="22">
        <f>'Jouw wensen'!$G$7</f>
        <v>125</v>
      </c>
      <c r="W64" s="22">
        <f>'Jouw wensen'!$G$8</f>
        <v>360</v>
      </c>
      <c r="X64" s="22">
        <f>'Jouw wensen'!$G$9</f>
        <v>80</v>
      </c>
      <c r="Z64" s="22">
        <f t="shared" si="14"/>
        <v>230.3</v>
      </c>
      <c r="AA64" s="22">
        <f t="shared" si="15"/>
        <v>365</v>
      </c>
      <c r="AB64" s="22">
        <f t="shared" si="16"/>
        <v>200</v>
      </c>
      <c r="AC64" s="22">
        <f t="shared" si="17"/>
        <v>0</v>
      </c>
      <c r="AD64" s="22">
        <f t="shared" si="18"/>
        <v>125</v>
      </c>
      <c r="AE64" s="22">
        <f t="shared" si="19"/>
        <v>360</v>
      </c>
      <c r="AF64" s="22">
        <f t="shared" si="20"/>
        <v>0</v>
      </c>
      <c r="AG64" s="22">
        <f t="shared" si="21"/>
        <v>1280.3</v>
      </c>
    </row>
    <row r="65" spans="1:33" ht="30" x14ac:dyDescent="0.25">
      <c r="A65" s="59" t="s">
        <v>89</v>
      </c>
      <c r="B65" s="38" t="s">
        <v>96</v>
      </c>
      <c r="C65" s="38" t="s">
        <v>90</v>
      </c>
      <c r="D65" s="47">
        <v>124.9</v>
      </c>
      <c r="E65" s="47">
        <v>72.5</v>
      </c>
      <c r="F65" s="40">
        <v>1</v>
      </c>
      <c r="G65" s="40">
        <v>1</v>
      </c>
      <c r="H65" s="51">
        <v>75</v>
      </c>
      <c r="I65" s="41">
        <v>1</v>
      </c>
      <c r="J65" s="45">
        <v>175</v>
      </c>
      <c r="K65" s="45">
        <f>36*45</f>
        <v>1620</v>
      </c>
      <c r="L65" s="45">
        <v>75</v>
      </c>
      <c r="M65" s="45">
        <f t="shared" si="11"/>
        <v>2368.8000000000002</v>
      </c>
      <c r="N65" s="45">
        <f t="shared" si="12"/>
        <v>1265.3</v>
      </c>
      <c r="O65" s="68">
        <f t="shared" si="13"/>
        <v>0.53415231340763247</v>
      </c>
      <c r="P65" s="5"/>
      <c r="R65" s="22">
        <f>'Jouw wensen'!$G$3</f>
        <v>230.3</v>
      </c>
      <c r="S65" s="22">
        <f>'Jouw wensen'!$G$4</f>
        <v>365</v>
      </c>
      <c r="T65" s="22">
        <f>'Jouw wensen'!$G$5</f>
        <v>200</v>
      </c>
      <c r="U65" s="22">
        <f>'Jouw wensen'!$G$6</f>
        <v>35</v>
      </c>
      <c r="V65" s="22">
        <f>'Jouw wensen'!$G$7</f>
        <v>125</v>
      </c>
      <c r="W65" s="22">
        <f>'Jouw wensen'!$G$8</f>
        <v>360</v>
      </c>
      <c r="X65" s="22">
        <f>'Jouw wensen'!$G$9</f>
        <v>80</v>
      </c>
      <c r="Z65" s="22">
        <f t="shared" si="14"/>
        <v>230.3</v>
      </c>
      <c r="AA65" s="22">
        <f t="shared" si="15"/>
        <v>365</v>
      </c>
      <c r="AB65" s="22">
        <f t="shared" si="16"/>
        <v>75</v>
      </c>
      <c r="AC65" s="22">
        <f t="shared" si="17"/>
        <v>35</v>
      </c>
      <c r="AD65" s="22">
        <f t="shared" si="18"/>
        <v>125</v>
      </c>
      <c r="AE65" s="22">
        <f t="shared" si="19"/>
        <v>360</v>
      </c>
      <c r="AF65" s="22">
        <f t="shared" si="20"/>
        <v>75</v>
      </c>
      <c r="AG65" s="22">
        <f t="shared" si="21"/>
        <v>1265.3</v>
      </c>
    </row>
    <row r="66" spans="1:33" ht="30" hidden="1" x14ac:dyDescent="0.25">
      <c r="A66" s="59" t="s">
        <v>119</v>
      </c>
      <c r="B66" s="38" t="s">
        <v>129</v>
      </c>
      <c r="C66" s="38" t="s">
        <v>118</v>
      </c>
      <c r="D66" s="47">
        <v>138.55000000000001</v>
      </c>
      <c r="E66" s="47">
        <v>16.5</v>
      </c>
      <c r="F66" s="40">
        <v>0</v>
      </c>
      <c r="G66" s="40">
        <v>1</v>
      </c>
      <c r="H66" s="51">
        <v>100</v>
      </c>
      <c r="I66" s="41">
        <v>1</v>
      </c>
      <c r="J66" s="45">
        <v>200</v>
      </c>
      <c r="K66" s="45">
        <f>16*45</f>
        <v>720</v>
      </c>
      <c r="L66" s="45">
        <v>0</v>
      </c>
      <c r="M66" s="45">
        <f t="shared" si="11"/>
        <v>1860.6000000000001</v>
      </c>
      <c r="N66" s="45">
        <f t="shared" si="12"/>
        <v>985</v>
      </c>
      <c r="O66" s="68">
        <f t="shared" si="13"/>
        <v>0.52939911856390409</v>
      </c>
      <c r="P66" s="5"/>
      <c r="R66" s="22">
        <f>'Jouw wensen'!$G$3</f>
        <v>230.3</v>
      </c>
      <c r="S66" s="22">
        <f>'Jouw wensen'!$G$4</f>
        <v>365</v>
      </c>
      <c r="T66" s="22">
        <f>'Jouw wensen'!$G$5</f>
        <v>200</v>
      </c>
      <c r="U66" s="22">
        <f>'Jouw wensen'!$G$6</f>
        <v>35</v>
      </c>
      <c r="V66" s="22">
        <f>'Jouw wensen'!$G$7</f>
        <v>125</v>
      </c>
      <c r="W66" s="22">
        <f>'Jouw wensen'!$G$8</f>
        <v>360</v>
      </c>
      <c r="X66" s="22">
        <f>'Jouw wensen'!$G$9</f>
        <v>80</v>
      </c>
      <c r="Z66" s="22">
        <f t="shared" si="14"/>
        <v>0</v>
      </c>
      <c r="AA66" s="22">
        <f t="shared" si="15"/>
        <v>365</v>
      </c>
      <c r="AB66" s="22">
        <f t="shared" si="16"/>
        <v>100</v>
      </c>
      <c r="AC66" s="22">
        <f t="shared" si="17"/>
        <v>35</v>
      </c>
      <c r="AD66" s="22">
        <f t="shared" si="18"/>
        <v>125</v>
      </c>
      <c r="AE66" s="22">
        <f t="shared" si="19"/>
        <v>360</v>
      </c>
      <c r="AF66" s="22">
        <f t="shared" si="20"/>
        <v>0</v>
      </c>
      <c r="AG66" s="22">
        <f t="shared" si="21"/>
        <v>985</v>
      </c>
    </row>
    <row r="67" spans="1:33" ht="45" x14ac:dyDescent="0.25">
      <c r="A67" s="59" t="s">
        <v>108</v>
      </c>
      <c r="B67" s="38" t="s">
        <v>113</v>
      </c>
      <c r="C67" s="38" t="s">
        <v>90</v>
      </c>
      <c r="D67" s="47">
        <v>123.45</v>
      </c>
      <c r="E67" s="47">
        <v>74.25</v>
      </c>
      <c r="F67" s="40">
        <v>1</v>
      </c>
      <c r="G67" s="40">
        <v>1</v>
      </c>
      <c r="H67" s="51">
        <v>75</v>
      </c>
      <c r="I67" s="41">
        <v>1</v>
      </c>
      <c r="J67" s="45">
        <v>115</v>
      </c>
      <c r="K67" s="45">
        <f>36*45</f>
        <v>1620</v>
      </c>
      <c r="L67" s="45">
        <v>75</v>
      </c>
      <c r="M67" s="45">
        <f t="shared" ref="M67:M91" si="22">SUM(D67+E67)*12</f>
        <v>2372.3999999999996</v>
      </c>
      <c r="N67" s="45">
        <f t="shared" ref="N67:N91" si="23">AG67</f>
        <v>1255.3</v>
      </c>
      <c r="O67" s="68">
        <f t="shared" ref="O67:O91" si="24">N67/M67</f>
        <v>0.52912662282920253</v>
      </c>
      <c r="P67" s="5"/>
      <c r="R67" s="22">
        <f>'Jouw wensen'!$G$3</f>
        <v>230.3</v>
      </c>
      <c r="S67" s="22">
        <f>'Jouw wensen'!$G$4</f>
        <v>365</v>
      </c>
      <c r="T67" s="22">
        <f>'Jouw wensen'!$G$5</f>
        <v>200</v>
      </c>
      <c r="U67" s="22">
        <f>'Jouw wensen'!$G$6</f>
        <v>35</v>
      </c>
      <c r="V67" s="22">
        <f>'Jouw wensen'!$G$7</f>
        <v>125</v>
      </c>
      <c r="W67" s="22">
        <f>'Jouw wensen'!$G$8</f>
        <v>360</v>
      </c>
      <c r="X67" s="22">
        <f>'Jouw wensen'!$G$9</f>
        <v>80</v>
      </c>
      <c r="Z67" s="22">
        <f t="shared" ref="Z67:Z91" si="25">F67*R67</f>
        <v>230.3</v>
      </c>
      <c r="AA67" s="22">
        <f t="shared" ref="AA67:AA91" si="26">G67*S67</f>
        <v>365</v>
      </c>
      <c r="AB67" s="22">
        <f t="shared" ref="AB67:AB91" si="27">IF(T67&gt;H67,H67,T67)</f>
        <v>75</v>
      </c>
      <c r="AC67" s="22">
        <f t="shared" ref="AC67:AC91" si="28">U67*I67</f>
        <v>35</v>
      </c>
      <c r="AD67" s="22">
        <f t="shared" ref="AD67:AD91" si="29">IF(V67&gt;J67,J67,V67)</f>
        <v>115</v>
      </c>
      <c r="AE67" s="22">
        <f t="shared" ref="AE67:AE91" si="30">IF(W67&gt;K67,K67,W67)</f>
        <v>360</v>
      </c>
      <c r="AF67" s="22">
        <f t="shared" ref="AF67:AF91" si="31">IF(X67&gt;L67,L67,X67)</f>
        <v>75</v>
      </c>
      <c r="AG67" s="22">
        <f t="shared" ref="AG67:AG91" si="32">SUM(Z67:AF67)</f>
        <v>1255.3</v>
      </c>
    </row>
    <row r="68" spans="1:33" ht="30" x14ac:dyDescent="0.25">
      <c r="A68" s="59" t="s">
        <v>106</v>
      </c>
      <c r="B68" s="38" t="s">
        <v>166</v>
      </c>
      <c r="C68" s="38" t="s">
        <v>118</v>
      </c>
      <c r="D68" s="47">
        <v>137.35</v>
      </c>
      <c r="E68" s="47">
        <v>56.5</v>
      </c>
      <c r="F68" s="40">
        <v>1</v>
      </c>
      <c r="G68" s="40">
        <f>300/365</f>
        <v>0.82191780821917804</v>
      </c>
      <c r="H68" s="51">
        <v>100</v>
      </c>
      <c r="I68" s="41">
        <v>1</v>
      </c>
      <c r="J68" s="45">
        <v>150</v>
      </c>
      <c r="K68" s="45">
        <f>25*45</f>
        <v>1125</v>
      </c>
      <c r="L68" s="45">
        <v>75</v>
      </c>
      <c r="M68" s="45">
        <f t="shared" si="22"/>
        <v>2326.1999999999998</v>
      </c>
      <c r="N68" s="45">
        <f t="shared" si="23"/>
        <v>1225.3</v>
      </c>
      <c r="O68" s="68">
        <f t="shared" si="24"/>
        <v>0.52673888745593678</v>
      </c>
      <c r="P68" s="5"/>
      <c r="R68" s="22">
        <f>'Jouw wensen'!$G$3</f>
        <v>230.3</v>
      </c>
      <c r="S68" s="22">
        <f>'Jouw wensen'!$G$4</f>
        <v>365</v>
      </c>
      <c r="T68" s="22">
        <f>'Jouw wensen'!$G$5</f>
        <v>200</v>
      </c>
      <c r="U68" s="22">
        <f>'Jouw wensen'!$G$6</f>
        <v>35</v>
      </c>
      <c r="V68" s="22">
        <f>'Jouw wensen'!$G$7</f>
        <v>125</v>
      </c>
      <c r="W68" s="22">
        <f>'Jouw wensen'!$G$8</f>
        <v>360</v>
      </c>
      <c r="X68" s="22">
        <f>'Jouw wensen'!$G$9</f>
        <v>80</v>
      </c>
      <c r="Z68" s="22">
        <f t="shared" si="25"/>
        <v>230.3</v>
      </c>
      <c r="AA68" s="22">
        <f t="shared" si="26"/>
        <v>300</v>
      </c>
      <c r="AB68" s="22">
        <f t="shared" si="27"/>
        <v>100</v>
      </c>
      <c r="AC68" s="22">
        <f t="shared" si="28"/>
        <v>35</v>
      </c>
      <c r="AD68" s="22">
        <f t="shared" si="29"/>
        <v>125</v>
      </c>
      <c r="AE68" s="22">
        <f t="shared" si="30"/>
        <v>360</v>
      </c>
      <c r="AF68" s="22">
        <f t="shared" si="31"/>
        <v>75</v>
      </c>
      <c r="AG68" s="22">
        <f t="shared" si="32"/>
        <v>1225.3</v>
      </c>
    </row>
    <row r="69" spans="1:33" ht="60" x14ac:dyDescent="0.25">
      <c r="A69" s="59" t="s">
        <v>51</v>
      </c>
      <c r="B69" s="38" t="s">
        <v>53</v>
      </c>
      <c r="C69" s="38" t="s">
        <v>118</v>
      </c>
      <c r="D69" s="47">
        <v>134.4</v>
      </c>
      <c r="E69" s="47">
        <v>43.01</v>
      </c>
      <c r="F69" s="42">
        <v>1</v>
      </c>
      <c r="G69" s="42">
        <v>1</v>
      </c>
      <c r="H69" s="50">
        <v>150</v>
      </c>
      <c r="I69" s="43">
        <v>0</v>
      </c>
      <c r="J69" s="49">
        <v>0</v>
      </c>
      <c r="K69" s="45">
        <f>30*45</f>
        <v>1350</v>
      </c>
      <c r="L69" s="45">
        <v>0</v>
      </c>
      <c r="M69" s="45">
        <f t="shared" si="22"/>
        <v>2128.92</v>
      </c>
      <c r="N69" s="45">
        <f t="shared" si="23"/>
        <v>1105.3</v>
      </c>
      <c r="O69" s="68">
        <f t="shared" si="24"/>
        <v>0.51918343573267189</v>
      </c>
      <c r="P69" s="5" t="s">
        <v>56</v>
      </c>
      <c r="R69" s="22">
        <f>'Jouw wensen'!$G$3</f>
        <v>230.3</v>
      </c>
      <c r="S69" s="22">
        <f>'Jouw wensen'!$G$4</f>
        <v>365</v>
      </c>
      <c r="T69" s="22">
        <f>'Jouw wensen'!$G$5</f>
        <v>200</v>
      </c>
      <c r="U69" s="22">
        <f>'Jouw wensen'!$G$6</f>
        <v>35</v>
      </c>
      <c r="V69" s="22">
        <f>'Jouw wensen'!$G$7</f>
        <v>125</v>
      </c>
      <c r="W69" s="22">
        <f>'Jouw wensen'!$G$8</f>
        <v>360</v>
      </c>
      <c r="X69" s="22">
        <f>'Jouw wensen'!$G$9</f>
        <v>80</v>
      </c>
      <c r="Z69" s="22">
        <f t="shared" si="25"/>
        <v>230.3</v>
      </c>
      <c r="AA69" s="22">
        <f t="shared" si="26"/>
        <v>365</v>
      </c>
      <c r="AB69" s="22">
        <f t="shared" si="27"/>
        <v>150</v>
      </c>
      <c r="AC69" s="22">
        <f t="shared" si="28"/>
        <v>0</v>
      </c>
      <c r="AD69" s="22">
        <f t="shared" si="29"/>
        <v>0</v>
      </c>
      <c r="AE69" s="22">
        <f t="shared" si="30"/>
        <v>360</v>
      </c>
      <c r="AF69" s="22">
        <f t="shared" si="31"/>
        <v>0</v>
      </c>
      <c r="AG69" s="22">
        <f t="shared" si="32"/>
        <v>1105.3</v>
      </c>
    </row>
    <row r="70" spans="1:33" ht="45" x14ac:dyDescent="0.25">
      <c r="A70" s="59" t="s">
        <v>108</v>
      </c>
      <c r="B70" s="38" t="s">
        <v>115</v>
      </c>
      <c r="C70" s="38" t="s">
        <v>90</v>
      </c>
      <c r="D70" s="47">
        <v>131.44999999999999</v>
      </c>
      <c r="E70" s="47">
        <v>74.25</v>
      </c>
      <c r="F70" s="40">
        <v>1</v>
      </c>
      <c r="G70" s="40">
        <v>1</v>
      </c>
      <c r="H70" s="51">
        <v>75</v>
      </c>
      <c r="I70" s="41">
        <v>1</v>
      </c>
      <c r="J70" s="45">
        <v>115</v>
      </c>
      <c r="K70" s="45">
        <f>36*45</f>
        <v>1620</v>
      </c>
      <c r="L70" s="45">
        <v>75</v>
      </c>
      <c r="M70" s="45">
        <f t="shared" si="22"/>
        <v>2468.3999999999996</v>
      </c>
      <c r="N70" s="45">
        <f t="shared" si="23"/>
        <v>1255.3</v>
      </c>
      <c r="O70" s="68">
        <f t="shared" si="24"/>
        <v>0.50854804731810088</v>
      </c>
      <c r="P70" s="5"/>
      <c r="R70" s="22">
        <f>'Jouw wensen'!$G$3</f>
        <v>230.3</v>
      </c>
      <c r="S70" s="22">
        <f>'Jouw wensen'!$G$4</f>
        <v>365</v>
      </c>
      <c r="T70" s="22">
        <f>'Jouw wensen'!$G$5</f>
        <v>200</v>
      </c>
      <c r="U70" s="22">
        <f>'Jouw wensen'!$G$6</f>
        <v>35</v>
      </c>
      <c r="V70" s="22">
        <f>'Jouw wensen'!$G$7</f>
        <v>125</v>
      </c>
      <c r="W70" s="22">
        <f>'Jouw wensen'!$G$8</f>
        <v>360</v>
      </c>
      <c r="X70" s="22">
        <f>'Jouw wensen'!$G$9</f>
        <v>80</v>
      </c>
      <c r="Z70" s="22">
        <f t="shared" si="25"/>
        <v>230.3</v>
      </c>
      <c r="AA70" s="22">
        <f t="shared" si="26"/>
        <v>365</v>
      </c>
      <c r="AB70" s="22">
        <f t="shared" si="27"/>
        <v>75</v>
      </c>
      <c r="AC70" s="22">
        <f t="shared" si="28"/>
        <v>35</v>
      </c>
      <c r="AD70" s="22">
        <f t="shared" si="29"/>
        <v>115</v>
      </c>
      <c r="AE70" s="22">
        <f t="shared" si="30"/>
        <v>360</v>
      </c>
      <c r="AF70" s="22">
        <f t="shared" si="31"/>
        <v>75</v>
      </c>
      <c r="AG70" s="22">
        <f t="shared" si="32"/>
        <v>1255.3</v>
      </c>
    </row>
    <row r="71" spans="1:33" ht="30" hidden="1" x14ac:dyDescent="0.25">
      <c r="A71" s="59" t="s">
        <v>103</v>
      </c>
      <c r="B71" s="38" t="s">
        <v>143</v>
      </c>
      <c r="C71" s="38" t="s">
        <v>118</v>
      </c>
      <c r="D71" s="47">
        <v>132.15</v>
      </c>
      <c r="E71" s="47">
        <v>44.65</v>
      </c>
      <c r="F71" s="40">
        <f>175/230.3</f>
        <v>0.75987841945288748</v>
      </c>
      <c r="G71" s="40">
        <f>175/365</f>
        <v>0.47945205479452052</v>
      </c>
      <c r="H71" s="51">
        <v>200</v>
      </c>
      <c r="I71" s="41">
        <v>1</v>
      </c>
      <c r="J71" s="45">
        <v>200</v>
      </c>
      <c r="K71" s="45">
        <f>24*45</f>
        <v>1080</v>
      </c>
      <c r="L71" s="45">
        <v>0</v>
      </c>
      <c r="M71" s="45">
        <f t="shared" si="22"/>
        <v>2121.6000000000004</v>
      </c>
      <c r="N71" s="45">
        <f t="shared" si="23"/>
        <v>1070</v>
      </c>
      <c r="O71" s="68">
        <f t="shared" si="24"/>
        <v>0.50433634992458509</v>
      </c>
      <c r="P71" s="5"/>
      <c r="R71" s="22">
        <f>'Jouw wensen'!$G$3</f>
        <v>230.3</v>
      </c>
      <c r="S71" s="22">
        <f>'Jouw wensen'!$G$4</f>
        <v>365</v>
      </c>
      <c r="T71" s="22">
        <f>'Jouw wensen'!$G$5</f>
        <v>200</v>
      </c>
      <c r="U71" s="22">
        <f>'Jouw wensen'!$G$6</f>
        <v>35</v>
      </c>
      <c r="V71" s="22">
        <f>'Jouw wensen'!$G$7</f>
        <v>125</v>
      </c>
      <c r="W71" s="22">
        <f>'Jouw wensen'!$G$8</f>
        <v>360</v>
      </c>
      <c r="X71" s="22">
        <f>'Jouw wensen'!$G$9</f>
        <v>80</v>
      </c>
      <c r="Z71" s="22">
        <f t="shared" si="25"/>
        <v>175</v>
      </c>
      <c r="AA71" s="22">
        <f t="shared" si="26"/>
        <v>175</v>
      </c>
      <c r="AB71" s="22">
        <f t="shared" si="27"/>
        <v>200</v>
      </c>
      <c r="AC71" s="22">
        <f t="shared" si="28"/>
        <v>35</v>
      </c>
      <c r="AD71" s="22">
        <f t="shared" si="29"/>
        <v>125</v>
      </c>
      <c r="AE71" s="22">
        <f t="shared" si="30"/>
        <v>360</v>
      </c>
      <c r="AF71" s="22">
        <f t="shared" si="31"/>
        <v>0</v>
      </c>
      <c r="AG71" s="22">
        <f t="shared" si="32"/>
        <v>1070</v>
      </c>
    </row>
    <row r="72" spans="1:33" ht="45" x14ac:dyDescent="0.25">
      <c r="A72" s="59" t="s">
        <v>108</v>
      </c>
      <c r="B72" s="38" t="s">
        <v>117</v>
      </c>
      <c r="C72" s="38" t="s">
        <v>118</v>
      </c>
      <c r="D72" s="47">
        <v>143.94999999999999</v>
      </c>
      <c r="E72" s="47">
        <v>74.25</v>
      </c>
      <c r="F72" s="40">
        <v>1</v>
      </c>
      <c r="G72" s="40">
        <v>1</v>
      </c>
      <c r="H72" s="51">
        <v>75</v>
      </c>
      <c r="I72" s="41">
        <v>1</v>
      </c>
      <c r="J72" s="45">
        <v>115</v>
      </c>
      <c r="K72" s="45">
        <f>36*45</f>
        <v>1620</v>
      </c>
      <c r="L72" s="45">
        <v>75</v>
      </c>
      <c r="M72" s="45">
        <f t="shared" si="22"/>
        <v>2618.3999999999996</v>
      </c>
      <c r="N72" s="45">
        <f t="shared" si="23"/>
        <v>1255.3</v>
      </c>
      <c r="O72" s="68">
        <f t="shared" si="24"/>
        <v>0.47941490986862212</v>
      </c>
      <c r="P72" s="5"/>
      <c r="R72" s="22">
        <f>'Jouw wensen'!$G$3</f>
        <v>230.3</v>
      </c>
      <c r="S72" s="22">
        <f>'Jouw wensen'!$G$4</f>
        <v>365</v>
      </c>
      <c r="T72" s="22">
        <f>'Jouw wensen'!$G$5</f>
        <v>200</v>
      </c>
      <c r="U72" s="22">
        <f>'Jouw wensen'!$G$6</f>
        <v>35</v>
      </c>
      <c r="V72" s="22">
        <f>'Jouw wensen'!$G$7</f>
        <v>125</v>
      </c>
      <c r="W72" s="22">
        <f>'Jouw wensen'!$G$8</f>
        <v>360</v>
      </c>
      <c r="X72" s="22">
        <f>'Jouw wensen'!$G$9</f>
        <v>80</v>
      </c>
      <c r="Z72" s="22">
        <f t="shared" si="25"/>
        <v>230.3</v>
      </c>
      <c r="AA72" s="22">
        <f t="shared" si="26"/>
        <v>365</v>
      </c>
      <c r="AB72" s="22">
        <f t="shared" si="27"/>
        <v>75</v>
      </c>
      <c r="AC72" s="22">
        <f t="shared" si="28"/>
        <v>35</v>
      </c>
      <c r="AD72" s="22">
        <f t="shared" si="29"/>
        <v>115</v>
      </c>
      <c r="AE72" s="22">
        <f t="shared" si="30"/>
        <v>360</v>
      </c>
      <c r="AF72" s="22">
        <f t="shared" si="31"/>
        <v>75</v>
      </c>
      <c r="AG72" s="22">
        <f t="shared" si="32"/>
        <v>1255.3</v>
      </c>
    </row>
    <row r="73" spans="1:33" ht="30" hidden="1" x14ac:dyDescent="0.25">
      <c r="A73" s="59" t="s">
        <v>103</v>
      </c>
      <c r="B73" s="38" t="s">
        <v>141</v>
      </c>
      <c r="C73" s="38" t="s">
        <v>118</v>
      </c>
      <c r="D73" s="47">
        <v>132.15</v>
      </c>
      <c r="E73" s="47">
        <v>12.88</v>
      </c>
      <c r="F73" s="40">
        <f>100/230.3</f>
        <v>0.43421623968736428</v>
      </c>
      <c r="G73" s="40">
        <f>100/365</f>
        <v>0.27397260273972601</v>
      </c>
      <c r="H73" s="51">
        <v>200</v>
      </c>
      <c r="I73" s="41">
        <v>1</v>
      </c>
      <c r="J73" s="45">
        <v>200</v>
      </c>
      <c r="K73" s="45">
        <f>6*45</f>
        <v>270</v>
      </c>
      <c r="L73" s="45">
        <v>0</v>
      </c>
      <c r="M73" s="45">
        <f t="shared" si="22"/>
        <v>1740.3600000000001</v>
      </c>
      <c r="N73" s="45">
        <f t="shared" si="23"/>
        <v>830</v>
      </c>
      <c r="O73" s="68">
        <f t="shared" si="24"/>
        <v>0.47691282263439744</v>
      </c>
      <c r="P73" s="5"/>
      <c r="R73" s="22">
        <f>'Jouw wensen'!$G$3</f>
        <v>230.3</v>
      </c>
      <c r="S73" s="22">
        <f>'Jouw wensen'!$G$4</f>
        <v>365</v>
      </c>
      <c r="T73" s="22">
        <f>'Jouw wensen'!$G$5</f>
        <v>200</v>
      </c>
      <c r="U73" s="22">
        <f>'Jouw wensen'!$G$6</f>
        <v>35</v>
      </c>
      <c r="V73" s="22">
        <f>'Jouw wensen'!$G$7</f>
        <v>125</v>
      </c>
      <c r="W73" s="22">
        <f>'Jouw wensen'!$G$8</f>
        <v>360</v>
      </c>
      <c r="X73" s="22">
        <f>'Jouw wensen'!$G$9</f>
        <v>80</v>
      </c>
      <c r="Z73" s="22">
        <f t="shared" si="25"/>
        <v>100</v>
      </c>
      <c r="AA73" s="22">
        <f t="shared" si="26"/>
        <v>100</v>
      </c>
      <c r="AB73" s="22">
        <f t="shared" si="27"/>
        <v>200</v>
      </c>
      <c r="AC73" s="22">
        <f t="shared" si="28"/>
        <v>35</v>
      </c>
      <c r="AD73" s="22">
        <f t="shared" si="29"/>
        <v>125</v>
      </c>
      <c r="AE73" s="22">
        <f t="shared" si="30"/>
        <v>270</v>
      </c>
      <c r="AF73" s="22">
        <f t="shared" si="31"/>
        <v>0</v>
      </c>
      <c r="AG73" s="22">
        <f t="shared" si="32"/>
        <v>830</v>
      </c>
    </row>
    <row r="74" spans="1:33" ht="30" x14ac:dyDescent="0.25">
      <c r="A74" s="59" t="s">
        <v>104</v>
      </c>
      <c r="B74" s="38" t="s">
        <v>157</v>
      </c>
      <c r="C74" s="38" t="s">
        <v>118</v>
      </c>
      <c r="D74" s="47">
        <v>133</v>
      </c>
      <c r="E74" s="47">
        <v>58.75</v>
      </c>
      <c r="F74" s="40">
        <v>1</v>
      </c>
      <c r="G74" s="40">
        <v>1</v>
      </c>
      <c r="H74" s="51">
        <v>0</v>
      </c>
      <c r="I74" s="41">
        <v>1</v>
      </c>
      <c r="J74" s="45">
        <v>100</v>
      </c>
      <c r="K74" s="45">
        <f>36*45</f>
        <v>1620</v>
      </c>
      <c r="L74" s="45">
        <v>0</v>
      </c>
      <c r="M74" s="45">
        <f t="shared" si="22"/>
        <v>2301</v>
      </c>
      <c r="N74" s="45">
        <f t="shared" si="23"/>
        <v>1090.3</v>
      </c>
      <c r="O74" s="68">
        <f t="shared" si="24"/>
        <v>0.47383746197305515</v>
      </c>
      <c r="P74" s="5"/>
      <c r="R74" s="22">
        <f>'Jouw wensen'!$G$3</f>
        <v>230.3</v>
      </c>
      <c r="S74" s="22">
        <f>'Jouw wensen'!$G$4</f>
        <v>365</v>
      </c>
      <c r="T74" s="22">
        <f>'Jouw wensen'!$G$5</f>
        <v>200</v>
      </c>
      <c r="U74" s="22">
        <f>'Jouw wensen'!$G$6</f>
        <v>35</v>
      </c>
      <c r="V74" s="22">
        <f>'Jouw wensen'!$G$7</f>
        <v>125</v>
      </c>
      <c r="W74" s="22">
        <f>'Jouw wensen'!$G$8</f>
        <v>360</v>
      </c>
      <c r="X74" s="22">
        <f>'Jouw wensen'!$G$9</f>
        <v>80</v>
      </c>
      <c r="Z74" s="22">
        <f t="shared" si="25"/>
        <v>230.3</v>
      </c>
      <c r="AA74" s="22">
        <f t="shared" si="26"/>
        <v>365</v>
      </c>
      <c r="AB74" s="22">
        <f t="shared" si="27"/>
        <v>0</v>
      </c>
      <c r="AC74" s="22">
        <f t="shared" si="28"/>
        <v>35</v>
      </c>
      <c r="AD74" s="22">
        <f t="shared" si="29"/>
        <v>100</v>
      </c>
      <c r="AE74" s="22">
        <f t="shared" si="30"/>
        <v>360</v>
      </c>
      <c r="AF74" s="22">
        <f t="shared" si="31"/>
        <v>0</v>
      </c>
      <c r="AG74" s="22">
        <f t="shared" si="32"/>
        <v>1090.3</v>
      </c>
    </row>
    <row r="75" spans="1:33" ht="30" x14ac:dyDescent="0.25">
      <c r="A75" s="59" t="s">
        <v>168</v>
      </c>
      <c r="B75" s="38" t="s">
        <v>169</v>
      </c>
      <c r="C75" s="38" t="s">
        <v>124</v>
      </c>
      <c r="D75" s="47">
        <v>132.65</v>
      </c>
      <c r="E75" s="47">
        <v>45.6</v>
      </c>
      <c r="F75" s="40">
        <v>1</v>
      </c>
      <c r="G75" s="40">
        <v>0</v>
      </c>
      <c r="H75" s="51">
        <v>100</v>
      </c>
      <c r="I75" s="41">
        <v>1</v>
      </c>
      <c r="J75" s="45">
        <v>200</v>
      </c>
      <c r="K75" s="45">
        <f>32*45</f>
        <v>1440</v>
      </c>
      <c r="L75" s="45">
        <v>80</v>
      </c>
      <c r="M75" s="45">
        <f t="shared" si="22"/>
        <v>2139</v>
      </c>
      <c r="N75" s="45">
        <f t="shared" si="23"/>
        <v>930.3</v>
      </c>
      <c r="O75" s="68">
        <f t="shared" si="24"/>
        <v>0.43492286115007012</v>
      </c>
      <c r="P75" s="5"/>
      <c r="R75" s="22">
        <f>'Jouw wensen'!$G$3</f>
        <v>230.3</v>
      </c>
      <c r="S75" s="22">
        <f>'Jouw wensen'!$G$4</f>
        <v>365</v>
      </c>
      <c r="T75" s="22">
        <f>'Jouw wensen'!$G$5</f>
        <v>200</v>
      </c>
      <c r="U75" s="22">
        <f>'Jouw wensen'!$G$6</f>
        <v>35</v>
      </c>
      <c r="V75" s="22">
        <f>'Jouw wensen'!$G$7</f>
        <v>125</v>
      </c>
      <c r="W75" s="22">
        <f>'Jouw wensen'!$G$8</f>
        <v>360</v>
      </c>
      <c r="X75" s="22">
        <f>'Jouw wensen'!$G$9</f>
        <v>80</v>
      </c>
      <c r="Z75" s="22">
        <f t="shared" si="25"/>
        <v>230.3</v>
      </c>
      <c r="AA75" s="22">
        <f t="shared" si="26"/>
        <v>0</v>
      </c>
      <c r="AB75" s="22">
        <f t="shared" si="27"/>
        <v>100</v>
      </c>
      <c r="AC75" s="22">
        <f t="shared" si="28"/>
        <v>35</v>
      </c>
      <c r="AD75" s="22">
        <f t="shared" si="29"/>
        <v>125</v>
      </c>
      <c r="AE75" s="22">
        <f t="shared" si="30"/>
        <v>360</v>
      </c>
      <c r="AF75" s="22">
        <f t="shared" si="31"/>
        <v>80</v>
      </c>
      <c r="AG75" s="22">
        <f t="shared" si="32"/>
        <v>930.3</v>
      </c>
    </row>
    <row r="76" spans="1:33" ht="180" x14ac:dyDescent="0.25">
      <c r="A76" s="59" t="s">
        <v>82</v>
      </c>
      <c r="B76" s="38" t="s">
        <v>86</v>
      </c>
      <c r="C76" s="38" t="s">
        <v>118</v>
      </c>
      <c r="D76" s="47">
        <v>127.77</v>
      </c>
      <c r="E76" s="48">
        <v>127.42</v>
      </c>
      <c r="F76" s="42">
        <v>1</v>
      </c>
      <c r="G76" s="42">
        <v>1</v>
      </c>
      <c r="H76" s="50">
        <v>325</v>
      </c>
      <c r="I76" s="43">
        <v>1</v>
      </c>
      <c r="J76" s="49">
        <v>300</v>
      </c>
      <c r="K76" s="49">
        <v>2500</v>
      </c>
      <c r="L76" s="45">
        <v>0</v>
      </c>
      <c r="M76" s="45">
        <f t="shared" si="22"/>
        <v>3062.2799999999997</v>
      </c>
      <c r="N76" s="45">
        <f t="shared" si="23"/>
        <v>1315.3</v>
      </c>
      <c r="O76" s="68">
        <f t="shared" si="24"/>
        <v>0.42951656935355359</v>
      </c>
      <c r="P76" s="5" t="s">
        <v>88</v>
      </c>
      <c r="R76" s="22">
        <f>'Jouw wensen'!$G$3</f>
        <v>230.3</v>
      </c>
      <c r="S76" s="22">
        <f>'Jouw wensen'!$G$4</f>
        <v>365</v>
      </c>
      <c r="T76" s="22">
        <f>'Jouw wensen'!$G$5</f>
        <v>200</v>
      </c>
      <c r="U76" s="22">
        <f>'Jouw wensen'!$G$6</f>
        <v>35</v>
      </c>
      <c r="V76" s="22">
        <f>'Jouw wensen'!$G$7</f>
        <v>125</v>
      </c>
      <c r="W76" s="22">
        <f>'Jouw wensen'!$G$8</f>
        <v>360</v>
      </c>
      <c r="X76" s="22">
        <f>'Jouw wensen'!$G$9</f>
        <v>80</v>
      </c>
      <c r="Z76" s="22">
        <f t="shared" si="25"/>
        <v>230.3</v>
      </c>
      <c r="AA76" s="22">
        <f t="shared" si="26"/>
        <v>365</v>
      </c>
      <c r="AB76" s="22">
        <f t="shared" si="27"/>
        <v>200</v>
      </c>
      <c r="AC76" s="22">
        <f t="shared" si="28"/>
        <v>35</v>
      </c>
      <c r="AD76" s="22">
        <f t="shared" si="29"/>
        <v>125</v>
      </c>
      <c r="AE76" s="22">
        <f t="shared" si="30"/>
        <v>360</v>
      </c>
      <c r="AF76" s="22">
        <f t="shared" si="31"/>
        <v>0</v>
      </c>
      <c r="AG76" s="22">
        <f t="shared" si="32"/>
        <v>1315.3</v>
      </c>
    </row>
    <row r="77" spans="1:33" ht="30" x14ac:dyDescent="0.25">
      <c r="A77" s="59" t="s">
        <v>168</v>
      </c>
      <c r="B77" s="38" t="s">
        <v>170</v>
      </c>
      <c r="C77" s="38" t="s">
        <v>118</v>
      </c>
      <c r="D77" s="47">
        <v>138.34</v>
      </c>
      <c r="E77" s="47">
        <v>45.6</v>
      </c>
      <c r="F77" s="40">
        <v>1</v>
      </c>
      <c r="G77" s="40">
        <v>0</v>
      </c>
      <c r="H77" s="51">
        <v>100</v>
      </c>
      <c r="I77" s="41">
        <v>1</v>
      </c>
      <c r="J77" s="45">
        <v>200</v>
      </c>
      <c r="K77" s="45">
        <f>32*45</f>
        <v>1440</v>
      </c>
      <c r="L77" s="45">
        <v>80</v>
      </c>
      <c r="M77" s="45">
        <f t="shared" si="22"/>
        <v>2207.2799999999997</v>
      </c>
      <c r="N77" s="45">
        <f t="shared" si="23"/>
        <v>930.3</v>
      </c>
      <c r="O77" s="68">
        <f t="shared" si="24"/>
        <v>0.42146895726867462</v>
      </c>
      <c r="P77" s="5"/>
      <c r="R77" s="22">
        <f>'Jouw wensen'!$G$3</f>
        <v>230.3</v>
      </c>
      <c r="S77" s="22">
        <f>'Jouw wensen'!$G$4</f>
        <v>365</v>
      </c>
      <c r="T77" s="22">
        <f>'Jouw wensen'!$G$5</f>
        <v>200</v>
      </c>
      <c r="U77" s="22">
        <f>'Jouw wensen'!$G$6</f>
        <v>35</v>
      </c>
      <c r="V77" s="22">
        <f>'Jouw wensen'!$G$7</f>
        <v>125</v>
      </c>
      <c r="W77" s="22">
        <f>'Jouw wensen'!$G$8</f>
        <v>360</v>
      </c>
      <c r="X77" s="22">
        <f>'Jouw wensen'!$G$9</f>
        <v>80</v>
      </c>
      <c r="Z77" s="22">
        <f t="shared" si="25"/>
        <v>230.3</v>
      </c>
      <c r="AA77" s="22">
        <f t="shared" si="26"/>
        <v>0</v>
      </c>
      <c r="AB77" s="22">
        <f t="shared" si="27"/>
        <v>100</v>
      </c>
      <c r="AC77" s="22">
        <f t="shared" si="28"/>
        <v>35</v>
      </c>
      <c r="AD77" s="22">
        <f t="shared" si="29"/>
        <v>125</v>
      </c>
      <c r="AE77" s="22">
        <f t="shared" si="30"/>
        <v>360</v>
      </c>
      <c r="AF77" s="22">
        <f t="shared" si="31"/>
        <v>80</v>
      </c>
      <c r="AG77" s="22">
        <f t="shared" si="32"/>
        <v>930.3</v>
      </c>
    </row>
    <row r="78" spans="1:33" ht="45" x14ac:dyDescent="0.25">
      <c r="A78" s="59" t="s">
        <v>102</v>
      </c>
      <c r="B78" s="38" t="s">
        <v>139</v>
      </c>
      <c r="C78" s="38" t="s">
        <v>79</v>
      </c>
      <c r="D78" s="47">
        <v>127.75</v>
      </c>
      <c r="E78" s="47">
        <v>40.75</v>
      </c>
      <c r="F78" s="40">
        <v>1</v>
      </c>
      <c r="G78" s="40">
        <f>115/365</f>
        <v>0.31506849315068491</v>
      </c>
      <c r="H78" s="51">
        <v>0</v>
      </c>
      <c r="I78" s="41">
        <v>1</v>
      </c>
      <c r="J78" s="45">
        <v>100</v>
      </c>
      <c r="K78" s="45">
        <f>27*45</f>
        <v>1215</v>
      </c>
      <c r="L78" s="45">
        <v>0</v>
      </c>
      <c r="M78" s="45">
        <f t="shared" si="22"/>
        <v>2022</v>
      </c>
      <c r="N78" s="45">
        <f t="shared" si="23"/>
        <v>840.3</v>
      </c>
      <c r="O78" s="68">
        <f t="shared" si="24"/>
        <v>0.41557863501483677</v>
      </c>
      <c r="P78" s="5"/>
      <c r="R78" s="22">
        <f>'Jouw wensen'!$G$3</f>
        <v>230.3</v>
      </c>
      <c r="S78" s="22">
        <f>'Jouw wensen'!$G$4</f>
        <v>365</v>
      </c>
      <c r="T78" s="22">
        <f>'Jouw wensen'!$G$5</f>
        <v>200</v>
      </c>
      <c r="U78" s="22">
        <f>'Jouw wensen'!$G$6</f>
        <v>35</v>
      </c>
      <c r="V78" s="22">
        <f>'Jouw wensen'!$G$7</f>
        <v>125</v>
      </c>
      <c r="W78" s="22">
        <f>'Jouw wensen'!$G$8</f>
        <v>360</v>
      </c>
      <c r="X78" s="22">
        <f>'Jouw wensen'!$G$9</f>
        <v>80</v>
      </c>
      <c r="Z78" s="22">
        <f t="shared" si="25"/>
        <v>230.3</v>
      </c>
      <c r="AA78" s="22">
        <f t="shared" si="26"/>
        <v>115</v>
      </c>
      <c r="AB78" s="22">
        <f t="shared" si="27"/>
        <v>0</v>
      </c>
      <c r="AC78" s="22">
        <f t="shared" si="28"/>
        <v>35</v>
      </c>
      <c r="AD78" s="22">
        <f t="shared" si="29"/>
        <v>100</v>
      </c>
      <c r="AE78" s="22">
        <f t="shared" si="30"/>
        <v>360</v>
      </c>
      <c r="AF78" s="22">
        <f t="shared" si="31"/>
        <v>0</v>
      </c>
      <c r="AG78" s="22">
        <f t="shared" si="32"/>
        <v>840.3</v>
      </c>
    </row>
    <row r="79" spans="1:33" ht="45" x14ac:dyDescent="0.25">
      <c r="A79" s="59" t="s">
        <v>154</v>
      </c>
      <c r="B79" s="38" t="s">
        <v>156</v>
      </c>
      <c r="C79" s="38" t="s">
        <v>79</v>
      </c>
      <c r="D79" s="47">
        <v>127.75</v>
      </c>
      <c r="E79" s="47">
        <v>40.75</v>
      </c>
      <c r="F79" s="40">
        <v>1</v>
      </c>
      <c r="G79" s="40">
        <f>115/365</f>
        <v>0.31506849315068491</v>
      </c>
      <c r="H79" s="51">
        <v>0</v>
      </c>
      <c r="I79" s="41">
        <v>1</v>
      </c>
      <c r="J79" s="45">
        <v>100</v>
      </c>
      <c r="K79" s="45">
        <f>27*45</f>
        <v>1215</v>
      </c>
      <c r="L79" s="45">
        <v>0</v>
      </c>
      <c r="M79" s="45">
        <f t="shared" si="22"/>
        <v>2022</v>
      </c>
      <c r="N79" s="45">
        <f t="shared" si="23"/>
        <v>840.3</v>
      </c>
      <c r="O79" s="68">
        <f t="shared" si="24"/>
        <v>0.41557863501483677</v>
      </c>
      <c r="P79" s="5"/>
      <c r="R79" s="22">
        <f>'Jouw wensen'!$G$3</f>
        <v>230.3</v>
      </c>
      <c r="S79" s="22">
        <f>'Jouw wensen'!$G$4</f>
        <v>365</v>
      </c>
      <c r="T79" s="22">
        <f>'Jouw wensen'!$G$5</f>
        <v>200</v>
      </c>
      <c r="U79" s="22">
        <f>'Jouw wensen'!$G$6</f>
        <v>35</v>
      </c>
      <c r="V79" s="22">
        <f>'Jouw wensen'!$G$7</f>
        <v>125</v>
      </c>
      <c r="W79" s="22">
        <f>'Jouw wensen'!$G$8</f>
        <v>360</v>
      </c>
      <c r="X79" s="22">
        <f>'Jouw wensen'!$G$9</f>
        <v>80</v>
      </c>
      <c r="Z79" s="22">
        <f t="shared" si="25"/>
        <v>230.3</v>
      </c>
      <c r="AA79" s="22">
        <f t="shared" si="26"/>
        <v>115</v>
      </c>
      <c r="AB79" s="22">
        <f t="shared" si="27"/>
        <v>0</v>
      </c>
      <c r="AC79" s="22">
        <f t="shared" si="28"/>
        <v>35</v>
      </c>
      <c r="AD79" s="22">
        <f t="shared" si="29"/>
        <v>100</v>
      </c>
      <c r="AE79" s="22">
        <f t="shared" si="30"/>
        <v>360</v>
      </c>
      <c r="AF79" s="22">
        <f t="shared" si="31"/>
        <v>0</v>
      </c>
      <c r="AG79" s="22">
        <f t="shared" si="32"/>
        <v>840.3</v>
      </c>
    </row>
    <row r="80" spans="1:33" ht="180" x14ac:dyDescent="0.25">
      <c r="A80" s="59" t="s">
        <v>67</v>
      </c>
      <c r="B80" s="38" t="s">
        <v>72</v>
      </c>
      <c r="C80" s="38" t="s">
        <v>118</v>
      </c>
      <c r="D80" s="47">
        <v>134.5</v>
      </c>
      <c r="E80" s="48">
        <v>134.66</v>
      </c>
      <c r="F80" s="42">
        <v>1</v>
      </c>
      <c r="G80" s="42">
        <v>1</v>
      </c>
      <c r="H80" s="50">
        <v>325</v>
      </c>
      <c r="I80" s="43">
        <v>1</v>
      </c>
      <c r="J80" s="49">
        <v>300</v>
      </c>
      <c r="K80" s="49">
        <v>2500</v>
      </c>
      <c r="L80" s="45">
        <v>0</v>
      </c>
      <c r="M80" s="45">
        <f t="shared" si="22"/>
        <v>3229.9199999999996</v>
      </c>
      <c r="N80" s="45">
        <f t="shared" si="23"/>
        <v>1315.3</v>
      </c>
      <c r="O80" s="68">
        <f t="shared" si="24"/>
        <v>0.40722370832714128</v>
      </c>
      <c r="P80" s="5" t="s">
        <v>88</v>
      </c>
      <c r="R80" s="22">
        <f>'Jouw wensen'!$G$3</f>
        <v>230.3</v>
      </c>
      <c r="S80" s="22">
        <f>'Jouw wensen'!$G$4</f>
        <v>365</v>
      </c>
      <c r="T80" s="22">
        <f>'Jouw wensen'!$G$5</f>
        <v>200</v>
      </c>
      <c r="U80" s="22">
        <f>'Jouw wensen'!$G$6</f>
        <v>35</v>
      </c>
      <c r="V80" s="22">
        <f>'Jouw wensen'!$G$7</f>
        <v>125</v>
      </c>
      <c r="W80" s="22">
        <f>'Jouw wensen'!$G$8</f>
        <v>360</v>
      </c>
      <c r="X80" s="22">
        <f>'Jouw wensen'!$G$9</f>
        <v>80</v>
      </c>
      <c r="Z80" s="22">
        <f t="shared" si="25"/>
        <v>230.3</v>
      </c>
      <c r="AA80" s="22">
        <f t="shared" si="26"/>
        <v>365</v>
      </c>
      <c r="AB80" s="22">
        <f t="shared" si="27"/>
        <v>200</v>
      </c>
      <c r="AC80" s="22">
        <f t="shared" si="28"/>
        <v>35</v>
      </c>
      <c r="AD80" s="22">
        <f t="shared" si="29"/>
        <v>125</v>
      </c>
      <c r="AE80" s="22">
        <f t="shared" si="30"/>
        <v>360</v>
      </c>
      <c r="AF80" s="22">
        <f t="shared" si="31"/>
        <v>0</v>
      </c>
      <c r="AG80" s="22">
        <f t="shared" si="32"/>
        <v>1315.3</v>
      </c>
    </row>
    <row r="81" spans="1:33" ht="30" x14ac:dyDescent="0.25">
      <c r="A81" s="59" t="s">
        <v>104</v>
      </c>
      <c r="B81" s="38" t="s">
        <v>159</v>
      </c>
      <c r="C81" s="38" t="s">
        <v>118</v>
      </c>
      <c r="D81" s="47">
        <v>133</v>
      </c>
      <c r="E81" s="47">
        <v>42.5</v>
      </c>
      <c r="F81" s="40">
        <v>1</v>
      </c>
      <c r="G81" s="40">
        <f>115/365</f>
        <v>0.31506849315068491</v>
      </c>
      <c r="H81" s="51">
        <v>0</v>
      </c>
      <c r="I81" s="41">
        <v>1</v>
      </c>
      <c r="J81" s="45">
        <v>100</v>
      </c>
      <c r="K81" s="45">
        <f>27*45</f>
        <v>1215</v>
      </c>
      <c r="L81" s="45">
        <v>0</v>
      </c>
      <c r="M81" s="45">
        <f t="shared" si="22"/>
        <v>2106</v>
      </c>
      <c r="N81" s="45">
        <f t="shared" si="23"/>
        <v>840.3</v>
      </c>
      <c r="O81" s="68">
        <f t="shared" si="24"/>
        <v>0.39900284900284899</v>
      </c>
      <c r="P81" s="5"/>
      <c r="R81" s="22">
        <f>'Jouw wensen'!$G$3</f>
        <v>230.3</v>
      </c>
      <c r="S81" s="22">
        <f>'Jouw wensen'!$G$4</f>
        <v>365</v>
      </c>
      <c r="T81" s="22">
        <f>'Jouw wensen'!$G$5</f>
        <v>200</v>
      </c>
      <c r="U81" s="22">
        <f>'Jouw wensen'!$G$6</f>
        <v>35</v>
      </c>
      <c r="V81" s="22">
        <f>'Jouw wensen'!$G$7</f>
        <v>125</v>
      </c>
      <c r="W81" s="22">
        <f>'Jouw wensen'!$G$8</f>
        <v>360</v>
      </c>
      <c r="X81" s="22">
        <f>'Jouw wensen'!$G$9</f>
        <v>80</v>
      </c>
      <c r="Z81" s="22">
        <f t="shared" si="25"/>
        <v>230.3</v>
      </c>
      <c r="AA81" s="22">
        <f t="shared" si="26"/>
        <v>115</v>
      </c>
      <c r="AB81" s="22">
        <f t="shared" si="27"/>
        <v>0</v>
      </c>
      <c r="AC81" s="22">
        <f t="shared" si="28"/>
        <v>35</v>
      </c>
      <c r="AD81" s="22">
        <f t="shared" si="29"/>
        <v>100</v>
      </c>
      <c r="AE81" s="22">
        <f t="shared" si="30"/>
        <v>360</v>
      </c>
      <c r="AF81" s="22">
        <f t="shared" si="31"/>
        <v>0</v>
      </c>
      <c r="AG81" s="22">
        <f t="shared" si="32"/>
        <v>840.3</v>
      </c>
    </row>
    <row r="82" spans="1:33" ht="30" hidden="1" x14ac:dyDescent="0.25">
      <c r="A82" s="59" t="s">
        <v>106</v>
      </c>
      <c r="B82" s="38" t="s">
        <v>162</v>
      </c>
      <c r="C82" s="38" t="s">
        <v>75</v>
      </c>
      <c r="D82" s="47">
        <v>129.85</v>
      </c>
      <c r="E82" s="47">
        <v>21.25</v>
      </c>
      <c r="F82" s="40">
        <f>75/230.3</f>
        <v>0.3256621797655232</v>
      </c>
      <c r="G82" s="40">
        <f>75/365</f>
        <v>0.20547945205479451</v>
      </c>
      <c r="H82" s="51">
        <v>100</v>
      </c>
      <c r="I82" s="41">
        <v>1</v>
      </c>
      <c r="J82" s="45">
        <v>0</v>
      </c>
      <c r="K82" s="45">
        <f>12*45</f>
        <v>540</v>
      </c>
      <c r="L82" s="45">
        <v>40</v>
      </c>
      <c r="M82" s="45">
        <f t="shared" si="22"/>
        <v>1813.1999999999998</v>
      </c>
      <c r="N82" s="45">
        <f t="shared" si="23"/>
        <v>685</v>
      </c>
      <c r="O82" s="68">
        <f t="shared" si="24"/>
        <v>0.37778513125965146</v>
      </c>
      <c r="P82" s="5"/>
      <c r="R82" s="22">
        <f>'Jouw wensen'!$G$3</f>
        <v>230.3</v>
      </c>
      <c r="S82" s="22">
        <f>'Jouw wensen'!$G$4</f>
        <v>365</v>
      </c>
      <c r="T82" s="22">
        <f>'Jouw wensen'!$G$5</f>
        <v>200</v>
      </c>
      <c r="U82" s="22">
        <f>'Jouw wensen'!$G$6</f>
        <v>35</v>
      </c>
      <c r="V82" s="22">
        <f>'Jouw wensen'!$G$7</f>
        <v>125</v>
      </c>
      <c r="W82" s="22">
        <f>'Jouw wensen'!$G$8</f>
        <v>360</v>
      </c>
      <c r="X82" s="22">
        <f>'Jouw wensen'!$G$9</f>
        <v>80</v>
      </c>
      <c r="Z82" s="22">
        <f t="shared" si="25"/>
        <v>75</v>
      </c>
      <c r="AA82" s="22">
        <f t="shared" si="26"/>
        <v>75</v>
      </c>
      <c r="AB82" s="22">
        <f t="shared" si="27"/>
        <v>100</v>
      </c>
      <c r="AC82" s="22">
        <f t="shared" si="28"/>
        <v>35</v>
      </c>
      <c r="AD82" s="22">
        <f t="shared" si="29"/>
        <v>0</v>
      </c>
      <c r="AE82" s="22">
        <f t="shared" si="30"/>
        <v>360</v>
      </c>
      <c r="AF82" s="22">
        <f t="shared" si="31"/>
        <v>40</v>
      </c>
      <c r="AG82" s="22">
        <f t="shared" si="32"/>
        <v>685</v>
      </c>
    </row>
    <row r="83" spans="1:33" ht="30" hidden="1" x14ac:dyDescent="0.25">
      <c r="A83" s="59" t="s">
        <v>106</v>
      </c>
      <c r="B83" s="38" t="s">
        <v>165</v>
      </c>
      <c r="C83" s="38" t="s">
        <v>118</v>
      </c>
      <c r="D83" s="47">
        <v>137.35</v>
      </c>
      <c r="E83" s="47">
        <v>21.25</v>
      </c>
      <c r="F83" s="40">
        <f>75/230.3</f>
        <v>0.3256621797655232</v>
      </c>
      <c r="G83" s="40">
        <f>75/365</f>
        <v>0.20547945205479451</v>
      </c>
      <c r="H83" s="51">
        <v>100</v>
      </c>
      <c r="I83" s="41">
        <v>1</v>
      </c>
      <c r="J83" s="45">
        <v>0</v>
      </c>
      <c r="K83" s="45">
        <f>12*45</f>
        <v>540</v>
      </c>
      <c r="L83" s="45">
        <v>40</v>
      </c>
      <c r="M83" s="45">
        <f t="shared" si="22"/>
        <v>1903.1999999999998</v>
      </c>
      <c r="N83" s="45">
        <f t="shared" si="23"/>
        <v>685</v>
      </c>
      <c r="O83" s="68">
        <f t="shared" si="24"/>
        <v>0.35992013451029847</v>
      </c>
      <c r="P83" s="5"/>
      <c r="R83" s="22">
        <f>'Jouw wensen'!$G$3</f>
        <v>230.3</v>
      </c>
      <c r="S83" s="22">
        <f>'Jouw wensen'!$G$4</f>
        <v>365</v>
      </c>
      <c r="T83" s="22">
        <f>'Jouw wensen'!$G$5</f>
        <v>200</v>
      </c>
      <c r="U83" s="22">
        <f>'Jouw wensen'!$G$6</f>
        <v>35</v>
      </c>
      <c r="V83" s="22">
        <f>'Jouw wensen'!$G$7</f>
        <v>125</v>
      </c>
      <c r="W83" s="22">
        <f>'Jouw wensen'!$G$8</f>
        <v>360</v>
      </c>
      <c r="X83" s="22">
        <f>'Jouw wensen'!$G$9</f>
        <v>80</v>
      </c>
      <c r="Z83" s="22">
        <f t="shared" si="25"/>
        <v>75</v>
      </c>
      <c r="AA83" s="22">
        <f t="shared" si="26"/>
        <v>75</v>
      </c>
      <c r="AB83" s="22">
        <f t="shared" si="27"/>
        <v>100</v>
      </c>
      <c r="AC83" s="22">
        <f t="shared" si="28"/>
        <v>35</v>
      </c>
      <c r="AD83" s="22">
        <f t="shared" si="29"/>
        <v>0</v>
      </c>
      <c r="AE83" s="22">
        <f t="shared" si="30"/>
        <v>360</v>
      </c>
      <c r="AF83" s="22">
        <f t="shared" si="31"/>
        <v>40</v>
      </c>
      <c r="AG83" s="22">
        <f t="shared" si="32"/>
        <v>685</v>
      </c>
    </row>
    <row r="84" spans="1:33" ht="30" hidden="1" x14ac:dyDescent="0.25">
      <c r="A84" s="59" t="s">
        <v>106</v>
      </c>
      <c r="B84" s="38" t="s">
        <v>164</v>
      </c>
      <c r="C84" s="38" t="s">
        <v>75</v>
      </c>
      <c r="D84" s="47">
        <v>129.85</v>
      </c>
      <c r="E84" s="47">
        <v>45.25</v>
      </c>
      <c r="F84" s="40">
        <f>100/230.3</f>
        <v>0.43421623968736428</v>
      </c>
      <c r="G84" s="40">
        <f>100/365</f>
        <v>0.27397260273972601</v>
      </c>
      <c r="H84" s="51">
        <v>100</v>
      </c>
      <c r="I84" s="41">
        <v>1</v>
      </c>
      <c r="J84" s="45">
        <v>0</v>
      </c>
      <c r="K84" s="45">
        <f>25*45</f>
        <v>1125</v>
      </c>
      <c r="L84" s="45">
        <v>40</v>
      </c>
      <c r="M84" s="45">
        <f t="shared" si="22"/>
        <v>2101.1999999999998</v>
      </c>
      <c r="N84" s="45">
        <f t="shared" si="23"/>
        <v>735</v>
      </c>
      <c r="O84" s="68">
        <f t="shared" si="24"/>
        <v>0.34980011422044549</v>
      </c>
      <c r="P84" s="5"/>
      <c r="R84" s="22">
        <f>'Jouw wensen'!$G$3</f>
        <v>230.3</v>
      </c>
      <c r="S84" s="22">
        <f>'Jouw wensen'!$G$4</f>
        <v>365</v>
      </c>
      <c r="T84" s="22">
        <f>'Jouw wensen'!$G$5</f>
        <v>200</v>
      </c>
      <c r="U84" s="22">
        <f>'Jouw wensen'!$G$6</f>
        <v>35</v>
      </c>
      <c r="V84" s="22">
        <f>'Jouw wensen'!$G$7</f>
        <v>125</v>
      </c>
      <c r="W84" s="22">
        <f>'Jouw wensen'!$G$8</f>
        <v>360</v>
      </c>
      <c r="X84" s="22">
        <f>'Jouw wensen'!$G$9</f>
        <v>80</v>
      </c>
      <c r="Z84" s="22">
        <f t="shared" si="25"/>
        <v>100</v>
      </c>
      <c r="AA84" s="22">
        <f t="shared" si="26"/>
        <v>100</v>
      </c>
      <c r="AB84" s="22">
        <f t="shared" si="27"/>
        <v>100</v>
      </c>
      <c r="AC84" s="22">
        <f t="shared" si="28"/>
        <v>35</v>
      </c>
      <c r="AD84" s="22">
        <f t="shared" si="29"/>
        <v>0</v>
      </c>
      <c r="AE84" s="22">
        <f t="shared" si="30"/>
        <v>360</v>
      </c>
      <c r="AF84" s="22">
        <f t="shared" si="31"/>
        <v>40</v>
      </c>
      <c r="AG84" s="22">
        <f t="shared" si="32"/>
        <v>735</v>
      </c>
    </row>
    <row r="85" spans="1:33" ht="30" hidden="1" x14ac:dyDescent="0.25">
      <c r="A85" s="59" t="s">
        <v>106</v>
      </c>
      <c r="B85" s="38" t="s">
        <v>167</v>
      </c>
      <c r="C85" s="38" t="s">
        <v>118</v>
      </c>
      <c r="D85" s="47">
        <v>137.35</v>
      </c>
      <c r="E85" s="47">
        <v>45.25</v>
      </c>
      <c r="F85" s="40">
        <f>100/230.3</f>
        <v>0.43421623968736428</v>
      </c>
      <c r="G85" s="40">
        <f>100/365</f>
        <v>0.27397260273972601</v>
      </c>
      <c r="H85" s="51">
        <v>100</v>
      </c>
      <c r="I85" s="41">
        <v>1</v>
      </c>
      <c r="J85" s="45">
        <v>0</v>
      </c>
      <c r="K85" s="45">
        <f>25*45</f>
        <v>1125</v>
      </c>
      <c r="L85" s="45">
        <v>40</v>
      </c>
      <c r="M85" s="45">
        <f t="shared" si="22"/>
        <v>2191.1999999999998</v>
      </c>
      <c r="N85" s="45">
        <f t="shared" si="23"/>
        <v>735</v>
      </c>
      <c r="O85" s="68">
        <f t="shared" si="24"/>
        <v>0.33543263964950715</v>
      </c>
      <c r="P85" s="5"/>
      <c r="R85" s="22">
        <f>'Jouw wensen'!$G$3</f>
        <v>230.3</v>
      </c>
      <c r="S85" s="22">
        <f>'Jouw wensen'!$G$4</f>
        <v>365</v>
      </c>
      <c r="T85" s="22">
        <f>'Jouw wensen'!$G$5</f>
        <v>200</v>
      </c>
      <c r="U85" s="22">
        <f>'Jouw wensen'!$G$6</f>
        <v>35</v>
      </c>
      <c r="V85" s="22">
        <f>'Jouw wensen'!$G$7</f>
        <v>125</v>
      </c>
      <c r="W85" s="22">
        <f>'Jouw wensen'!$G$8</f>
        <v>360</v>
      </c>
      <c r="X85" s="22">
        <f>'Jouw wensen'!$G$9</f>
        <v>80</v>
      </c>
      <c r="Z85" s="22">
        <f t="shared" si="25"/>
        <v>100</v>
      </c>
      <c r="AA85" s="22">
        <f t="shared" si="26"/>
        <v>100</v>
      </c>
      <c r="AB85" s="22">
        <f t="shared" si="27"/>
        <v>100</v>
      </c>
      <c r="AC85" s="22">
        <f t="shared" si="28"/>
        <v>35</v>
      </c>
      <c r="AD85" s="22">
        <f t="shared" si="29"/>
        <v>0</v>
      </c>
      <c r="AE85" s="22">
        <f t="shared" si="30"/>
        <v>360</v>
      </c>
      <c r="AF85" s="22">
        <f t="shared" si="31"/>
        <v>40</v>
      </c>
      <c r="AG85" s="22">
        <f t="shared" si="32"/>
        <v>735</v>
      </c>
    </row>
    <row r="86" spans="1:33" ht="45" hidden="1" x14ac:dyDescent="0.25">
      <c r="A86" s="59" t="s">
        <v>102</v>
      </c>
      <c r="B86" s="38" t="s">
        <v>137</v>
      </c>
      <c r="C86" s="38" t="s">
        <v>79</v>
      </c>
      <c r="D86" s="47">
        <v>127.75</v>
      </c>
      <c r="E86" s="47">
        <v>8.25</v>
      </c>
      <c r="F86" s="40">
        <v>0.5</v>
      </c>
      <c r="G86" s="40">
        <v>0</v>
      </c>
      <c r="H86" s="51">
        <v>0</v>
      </c>
      <c r="I86" s="41">
        <v>1</v>
      </c>
      <c r="J86" s="45">
        <v>0</v>
      </c>
      <c r="K86" s="45">
        <f>9*45</f>
        <v>405</v>
      </c>
      <c r="L86" s="45">
        <v>0</v>
      </c>
      <c r="M86" s="45">
        <f t="shared" si="22"/>
        <v>1632</v>
      </c>
      <c r="N86" s="45">
        <f t="shared" si="23"/>
        <v>510.15</v>
      </c>
      <c r="O86" s="68">
        <f t="shared" si="24"/>
        <v>0.31259191176470585</v>
      </c>
      <c r="P86" s="5"/>
      <c r="R86" s="22">
        <f>'Jouw wensen'!$G$3</f>
        <v>230.3</v>
      </c>
      <c r="S86" s="22">
        <f>'Jouw wensen'!$G$4</f>
        <v>365</v>
      </c>
      <c r="T86" s="22">
        <f>'Jouw wensen'!$G$5</f>
        <v>200</v>
      </c>
      <c r="U86" s="22">
        <f>'Jouw wensen'!$G$6</f>
        <v>35</v>
      </c>
      <c r="V86" s="22">
        <f>'Jouw wensen'!$G$7</f>
        <v>125</v>
      </c>
      <c r="W86" s="22">
        <f>'Jouw wensen'!$G$8</f>
        <v>360</v>
      </c>
      <c r="X86" s="22">
        <f>'Jouw wensen'!$G$9</f>
        <v>80</v>
      </c>
      <c r="Z86" s="22">
        <f t="shared" si="25"/>
        <v>115.15</v>
      </c>
      <c r="AA86" s="22">
        <f t="shared" si="26"/>
        <v>0</v>
      </c>
      <c r="AB86" s="22">
        <f t="shared" si="27"/>
        <v>0</v>
      </c>
      <c r="AC86" s="22">
        <f t="shared" si="28"/>
        <v>35</v>
      </c>
      <c r="AD86" s="22">
        <f t="shared" si="29"/>
        <v>0</v>
      </c>
      <c r="AE86" s="22">
        <f t="shared" si="30"/>
        <v>360</v>
      </c>
      <c r="AF86" s="22">
        <f t="shared" si="31"/>
        <v>0</v>
      </c>
      <c r="AG86" s="22">
        <f t="shared" si="32"/>
        <v>510.15</v>
      </c>
    </row>
    <row r="87" spans="1:33" ht="45" hidden="1" x14ac:dyDescent="0.25">
      <c r="A87" s="59" t="s">
        <v>154</v>
      </c>
      <c r="B87" s="38" t="s">
        <v>137</v>
      </c>
      <c r="C87" s="38" t="s">
        <v>79</v>
      </c>
      <c r="D87" s="47">
        <v>127.75</v>
      </c>
      <c r="E87" s="47">
        <v>8.25</v>
      </c>
      <c r="F87" s="40">
        <v>0.5</v>
      </c>
      <c r="G87" s="40">
        <v>0</v>
      </c>
      <c r="H87" s="51">
        <v>0</v>
      </c>
      <c r="I87" s="41">
        <v>1</v>
      </c>
      <c r="J87" s="45">
        <v>0</v>
      </c>
      <c r="K87" s="45">
        <f>9*45</f>
        <v>405</v>
      </c>
      <c r="L87" s="45">
        <v>0</v>
      </c>
      <c r="M87" s="45">
        <f t="shared" si="22"/>
        <v>1632</v>
      </c>
      <c r="N87" s="45">
        <f t="shared" si="23"/>
        <v>510.15</v>
      </c>
      <c r="O87" s="68">
        <f t="shared" si="24"/>
        <v>0.31259191176470585</v>
      </c>
      <c r="P87" s="5"/>
      <c r="R87" s="22">
        <f>'Jouw wensen'!$G$3</f>
        <v>230.3</v>
      </c>
      <c r="S87" s="22">
        <f>'Jouw wensen'!$G$4</f>
        <v>365</v>
      </c>
      <c r="T87" s="22">
        <f>'Jouw wensen'!$G$5</f>
        <v>200</v>
      </c>
      <c r="U87" s="22">
        <f>'Jouw wensen'!$G$6</f>
        <v>35</v>
      </c>
      <c r="V87" s="22">
        <f>'Jouw wensen'!$G$7</f>
        <v>125</v>
      </c>
      <c r="W87" s="22">
        <f>'Jouw wensen'!$G$8</f>
        <v>360</v>
      </c>
      <c r="X87" s="22">
        <f>'Jouw wensen'!$G$9</f>
        <v>80</v>
      </c>
      <c r="Z87" s="22">
        <f t="shared" si="25"/>
        <v>115.15</v>
      </c>
      <c r="AA87" s="22">
        <f t="shared" si="26"/>
        <v>0</v>
      </c>
      <c r="AB87" s="22">
        <f t="shared" si="27"/>
        <v>0</v>
      </c>
      <c r="AC87" s="22">
        <f t="shared" si="28"/>
        <v>35</v>
      </c>
      <c r="AD87" s="22">
        <f t="shared" si="29"/>
        <v>0</v>
      </c>
      <c r="AE87" s="22">
        <f t="shared" si="30"/>
        <v>360</v>
      </c>
      <c r="AF87" s="22">
        <f t="shared" si="31"/>
        <v>0</v>
      </c>
      <c r="AG87" s="22">
        <f t="shared" si="32"/>
        <v>510.15</v>
      </c>
    </row>
    <row r="88" spans="1:33" ht="30" hidden="1" x14ac:dyDescent="0.25">
      <c r="A88" s="59" t="s">
        <v>104</v>
      </c>
      <c r="B88" s="38" t="s">
        <v>160</v>
      </c>
      <c r="C88" s="38" t="s">
        <v>118</v>
      </c>
      <c r="D88" s="47">
        <v>133</v>
      </c>
      <c r="E88" s="47">
        <v>8.25</v>
      </c>
      <c r="F88" s="40">
        <v>0.5</v>
      </c>
      <c r="G88" s="40">
        <v>0</v>
      </c>
      <c r="H88" s="51">
        <v>0</v>
      </c>
      <c r="I88" s="41">
        <v>1</v>
      </c>
      <c r="J88" s="45">
        <v>0</v>
      </c>
      <c r="K88" s="45">
        <f>9*45</f>
        <v>405</v>
      </c>
      <c r="L88" s="45">
        <v>0</v>
      </c>
      <c r="M88" s="45">
        <f t="shared" si="22"/>
        <v>1695</v>
      </c>
      <c r="N88" s="45">
        <f t="shared" si="23"/>
        <v>510.15</v>
      </c>
      <c r="O88" s="68">
        <f t="shared" si="24"/>
        <v>0.30097345132743364</v>
      </c>
      <c r="P88" s="5"/>
      <c r="R88" s="22">
        <f>'Jouw wensen'!$G$3</f>
        <v>230.3</v>
      </c>
      <c r="S88" s="22">
        <f>'Jouw wensen'!$G$4</f>
        <v>365</v>
      </c>
      <c r="T88" s="22">
        <f>'Jouw wensen'!$G$5</f>
        <v>200</v>
      </c>
      <c r="U88" s="22">
        <f>'Jouw wensen'!$G$6</f>
        <v>35</v>
      </c>
      <c r="V88" s="22">
        <f>'Jouw wensen'!$G$7</f>
        <v>125</v>
      </c>
      <c r="W88" s="22">
        <f>'Jouw wensen'!$G$8</f>
        <v>360</v>
      </c>
      <c r="X88" s="22">
        <f>'Jouw wensen'!$G$9</f>
        <v>80</v>
      </c>
      <c r="Z88" s="22">
        <f t="shared" si="25"/>
        <v>115.15</v>
      </c>
      <c r="AA88" s="22">
        <f t="shared" si="26"/>
        <v>0</v>
      </c>
      <c r="AB88" s="22">
        <f t="shared" si="27"/>
        <v>0</v>
      </c>
      <c r="AC88" s="22">
        <f t="shared" si="28"/>
        <v>35</v>
      </c>
      <c r="AD88" s="22">
        <f t="shared" si="29"/>
        <v>0</v>
      </c>
      <c r="AE88" s="22">
        <f t="shared" si="30"/>
        <v>360</v>
      </c>
      <c r="AF88" s="22">
        <f t="shared" si="31"/>
        <v>0</v>
      </c>
      <c r="AG88" s="22">
        <f t="shared" si="32"/>
        <v>510.15</v>
      </c>
    </row>
    <row r="89" spans="1:33" ht="45" hidden="1" x14ac:dyDescent="0.25">
      <c r="A89" s="59" t="s">
        <v>102</v>
      </c>
      <c r="B89" s="38" t="s">
        <v>138</v>
      </c>
      <c r="C89" s="38" t="s">
        <v>79</v>
      </c>
      <c r="D89" s="47">
        <v>127.75</v>
      </c>
      <c r="E89" s="47">
        <v>23.25</v>
      </c>
      <c r="F89" s="40">
        <v>0.5</v>
      </c>
      <c r="G89" s="40">
        <v>0</v>
      </c>
      <c r="H89" s="51">
        <v>0</v>
      </c>
      <c r="I89" s="41">
        <v>1</v>
      </c>
      <c r="J89" s="45">
        <v>0</v>
      </c>
      <c r="K89" s="45">
        <f>12*45</f>
        <v>540</v>
      </c>
      <c r="L89" s="45">
        <v>0</v>
      </c>
      <c r="M89" s="45">
        <f t="shared" si="22"/>
        <v>1812</v>
      </c>
      <c r="N89" s="45">
        <f t="shared" si="23"/>
        <v>510.15</v>
      </c>
      <c r="O89" s="68">
        <f t="shared" si="24"/>
        <v>0.28153973509933772</v>
      </c>
      <c r="P89" s="5"/>
      <c r="R89" s="22">
        <f>'Jouw wensen'!$G$3</f>
        <v>230.3</v>
      </c>
      <c r="S89" s="22">
        <f>'Jouw wensen'!$G$4</f>
        <v>365</v>
      </c>
      <c r="T89" s="22">
        <f>'Jouw wensen'!$G$5</f>
        <v>200</v>
      </c>
      <c r="U89" s="22">
        <f>'Jouw wensen'!$G$6</f>
        <v>35</v>
      </c>
      <c r="V89" s="22">
        <f>'Jouw wensen'!$G$7</f>
        <v>125</v>
      </c>
      <c r="W89" s="22">
        <f>'Jouw wensen'!$G$8</f>
        <v>360</v>
      </c>
      <c r="X89" s="22">
        <f>'Jouw wensen'!$G$9</f>
        <v>80</v>
      </c>
      <c r="Z89" s="22">
        <f t="shared" si="25"/>
        <v>115.15</v>
      </c>
      <c r="AA89" s="22">
        <f t="shared" si="26"/>
        <v>0</v>
      </c>
      <c r="AB89" s="22">
        <f t="shared" si="27"/>
        <v>0</v>
      </c>
      <c r="AC89" s="22">
        <f t="shared" si="28"/>
        <v>35</v>
      </c>
      <c r="AD89" s="22">
        <f t="shared" si="29"/>
        <v>0</v>
      </c>
      <c r="AE89" s="22">
        <f t="shared" si="30"/>
        <v>360</v>
      </c>
      <c r="AF89" s="22">
        <f t="shared" si="31"/>
        <v>0</v>
      </c>
      <c r="AG89" s="22">
        <f t="shared" si="32"/>
        <v>510.15</v>
      </c>
    </row>
    <row r="90" spans="1:33" ht="45" hidden="1" x14ac:dyDescent="0.25">
      <c r="A90" s="59" t="s">
        <v>154</v>
      </c>
      <c r="B90" s="38" t="s">
        <v>155</v>
      </c>
      <c r="C90" s="38" t="s">
        <v>79</v>
      </c>
      <c r="D90" s="47">
        <v>127.75</v>
      </c>
      <c r="E90" s="47">
        <v>23.25</v>
      </c>
      <c r="F90" s="40">
        <v>0.5</v>
      </c>
      <c r="G90" s="40">
        <v>0</v>
      </c>
      <c r="H90" s="51">
        <v>0</v>
      </c>
      <c r="I90" s="41">
        <v>1</v>
      </c>
      <c r="J90" s="45">
        <v>0</v>
      </c>
      <c r="K90" s="45">
        <f>12*45</f>
        <v>540</v>
      </c>
      <c r="L90" s="45">
        <v>0</v>
      </c>
      <c r="M90" s="45">
        <f t="shared" si="22"/>
        <v>1812</v>
      </c>
      <c r="N90" s="45">
        <f t="shared" si="23"/>
        <v>510.15</v>
      </c>
      <c r="O90" s="68">
        <f t="shared" si="24"/>
        <v>0.28153973509933772</v>
      </c>
      <c r="P90" s="5"/>
      <c r="R90" s="22">
        <f>'Jouw wensen'!$G$3</f>
        <v>230.3</v>
      </c>
      <c r="S90" s="22">
        <f>'Jouw wensen'!$G$4</f>
        <v>365</v>
      </c>
      <c r="T90" s="22">
        <f>'Jouw wensen'!$G$5</f>
        <v>200</v>
      </c>
      <c r="U90" s="22">
        <f>'Jouw wensen'!$G$6</f>
        <v>35</v>
      </c>
      <c r="V90" s="22">
        <f>'Jouw wensen'!$G$7</f>
        <v>125</v>
      </c>
      <c r="W90" s="22">
        <f>'Jouw wensen'!$G$8</f>
        <v>360</v>
      </c>
      <c r="X90" s="22">
        <f>'Jouw wensen'!$G$9</f>
        <v>80</v>
      </c>
      <c r="Z90" s="22">
        <f t="shared" si="25"/>
        <v>115.15</v>
      </c>
      <c r="AA90" s="22">
        <f t="shared" si="26"/>
        <v>0</v>
      </c>
      <c r="AB90" s="22">
        <f t="shared" si="27"/>
        <v>0</v>
      </c>
      <c r="AC90" s="22">
        <f t="shared" si="28"/>
        <v>35</v>
      </c>
      <c r="AD90" s="22">
        <f t="shared" si="29"/>
        <v>0</v>
      </c>
      <c r="AE90" s="22">
        <f t="shared" si="30"/>
        <v>360</v>
      </c>
      <c r="AF90" s="22">
        <f t="shared" si="31"/>
        <v>0</v>
      </c>
      <c r="AG90" s="22">
        <f t="shared" si="32"/>
        <v>510.15</v>
      </c>
    </row>
    <row r="91" spans="1:33" ht="30" hidden="1" x14ac:dyDescent="0.25">
      <c r="A91" s="59" t="s">
        <v>104</v>
      </c>
      <c r="B91" s="38" t="s">
        <v>158</v>
      </c>
      <c r="C91" s="38" t="s">
        <v>118</v>
      </c>
      <c r="D91" s="47">
        <v>133</v>
      </c>
      <c r="E91" s="47">
        <v>23.25</v>
      </c>
      <c r="F91" s="40">
        <v>0.5</v>
      </c>
      <c r="G91" s="40">
        <v>0</v>
      </c>
      <c r="H91" s="51">
        <v>0</v>
      </c>
      <c r="I91" s="41">
        <v>1</v>
      </c>
      <c r="J91" s="45">
        <v>0</v>
      </c>
      <c r="K91" s="45">
        <f>12*45</f>
        <v>540</v>
      </c>
      <c r="L91" s="45">
        <v>0</v>
      </c>
      <c r="M91" s="45">
        <f t="shared" si="22"/>
        <v>1875</v>
      </c>
      <c r="N91" s="45">
        <f t="shared" si="23"/>
        <v>510.15</v>
      </c>
      <c r="O91" s="68">
        <f t="shared" si="24"/>
        <v>0.27207999999999999</v>
      </c>
      <c r="P91" s="5"/>
      <c r="R91" s="22">
        <f>'Jouw wensen'!$G$3</f>
        <v>230.3</v>
      </c>
      <c r="S91" s="22">
        <f>'Jouw wensen'!$G$4</f>
        <v>365</v>
      </c>
      <c r="T91" s="22">
        <f>'Jouw wensen'!$G$5</f>
        <v>200</v>
      </c>
      <c r="U91" s="22">
        <f>'Jouw wensen'!$G$6</f>
        <v>35</v>
      </c>
      <c r="V91" s="22">
        <f>'Jouw wensen'!$G$7</f>
        <v>125</v>
      </c>
      <c r="W91" s="22">
        <f>'Jouw wensen'!$G$8</f>
        <v>360</v>
      </c>
      <c r="X91" s="22">
        <f>'Jouw wensen'!$G$9</f>
        <v>80</v>
      </c>
      <c r="Z91" s="22">
        <f t="shared" si="25"/>
        <v>115.15</v>
      </c>
      <c r="AA91" s="22">
        <f t="shared" si="26"/>
        <v>0</v>
      </c>
      <c r="AB91" s="22">
        <f t="shared" si="27"/>
        <v>0</v>
      </c>
      <c r="AC91" s="22">
        <f t="shared" si="28"/>
        <v>35</v>
      </c>
      <c r="AD91" s="22">
        <f t="shared" si="29"/>
        <v>0</v>
      </c>
      <c r="AE91" s="22">
        <f t="shared" si="30"/>
        <v>360</v>
      </c>
      <c r="AF91" s="22">
        <f t="shared" si="31"/>
        <v>0</v>
      </c>
      <c r="AG91" s="22">
        <f t="shared" si="32"/>
        <v>510.15</v>
      </c>
    </row>
  </sheetData>
  <sheetProtection sort="0" autoFilter="0"/>
  <autoFilter ref="A2:AG91" xr:uid="{453AD89E-FCF6-443E-9420-FBF3F0798E4A}">
    <filterColumn colId="5">
      <filters>
        <filter val="100%"/>
      </filters>
    </filterColumn>
    <sortState xmlns:xlrd2="http://schemas.microsoft.com/office/spreadsheetml/2017/richdata2" ref="A3:AG91">
      <sortCondition descending="1" ref="O2:O37"/>
    </sortState>
  </autoFilter>
  <mergeCells count="2">
    <mergeCell ref="N1:P1"/>
    <mergeCell ref="A1:K1"/>
  </mergeCells>
  <conditionalFormatting sqref="O3:O91">
    <cfRule type="colorScale" priority="1">
      <colorScale>
        <cfvo type="min"/>
        <cfvo type="percentile" val="50"/>
        <cfvo type="max"/>
        <color rgb="FFF8696B"/>
        <color rgb="FFFFEB84"/>
        <color rgb="FF63BE7B"/>
      </colorScale>
    </cfRule>
  </conditionalFormatting>
  <hyperlinks>
    <hyperlink ref="A41" r:id="rId1" xr:uid="{A66CEEDD-9176-45E9-9030-AFDD29CEB290}"/>
    <hyperlink ref="A49" r:id="rId2" xr:uid="{E9E33810-DD5C-48F0-9300-468A939CFE33}"/>
    <hyperlink ref="A63" r:id="rId3" xr:uid="{71412503-F6BF-4B29-9480-C6CA0AC475DA}"/>
    <hyperlink ref="A86" r:id="rId4" xr:uid="{0C993627-4461-4AFD-8658-8818AA6D03F2}"/>
    <hyperlink ref="A7:A8" r:id="rId5" display="DSW" xr:uid="{BB7EB5B9-62BE-4448-97EF-59BCA1A390CD}"/>
    <hyperlink ref="A31" r:id="rId6" xr:uid="{5ABAE4A2-D696-4C9C-BB28-ED764CC61109}"/>
    <hyperlink ref="A87" r:id="rId7" xr:uid="{AF491047-DEA0-4642-8AE9-540030AF3838}"/>
    <hyperlink ref="A11:A12" r:id="rId8" display="InTwente" xr:uid="{B585C90D-94AB-4DC1-8E99-FCC757CA7FA6}"/>
    <hyperlink ref="A29" r:id="rId9" xr:uid="{649A947E-1ABF-40D9-BD16-B74E9EE4FA2D}"/>
    <hyperlink ref="A14:A21" r:id="rId10" display="IZA" xr:uid="{56DF25C5-219C-4775-AC2D-BD247FA23E3E}"/>
    <hyperlink ref="A25" r:id="rId11" xr:uid="{AA73FF2A-C1B8-42BD-BA34-63D81833F45C}"/>
    <hyperlink ref="A23:A25" r:id="rId12" display="Menzis" xr:uid="{75823A45-5B82-423D-8100-CDD6AE9FA538}"/>
    <hyperlink ref="A73" r:id="rId13" xr:uid="{FF40425E-9D81-4F23-8F59-83621E53FD4C}"/>
    <hyperlink ref="A60" r:id="rId14" xr:uid="{9AEDE54C-FA74-4530-8278-4A7EE6B607A6}"/>
    <hyperlink ref="A71" r:id="rId15" xr:uid="{8354B903-F1E9-4823-A764-34CB69EA5C35}"/>
    <hyperlink ref="A27" r:id="rId16" xr:uid="{4F41F01B-75C0-48B2-B00B-AFE4BB765E09}"/>
    <hyperlink ref="A61" r:id="rId17" xr:uid="{43522B55-0404-428C-94B1-B3FF4E04429A}"/>
    <hyperlink ref="A31:A32" r:id="rId18" display="ONVZ" xr:uid="{BF8267B2-4BBB-4715-B332-BF86F6B8A7A3}"/>
    <hyperlink ref="A12" r:id="rId19" xr:uid="{3441E30C-3147-480A-8D69-3D15464C529F}"/>
    <hyperlink ref="A34:A36" r:id="rId20" display="PMA Zorgverzekering" xr:uid="{593D83AA-A17C-4320-A628-D809882EA72C}"/>
    <hyperlink ref="A62" r:id="rId21" xr:uid="{868B07FB-210A-486E-83ED-BCFF6C4918D7}"/>
    <hyperlink ref="A38:A40" r:id="rId22" display="PNO Zorg" xr:uid="{A5478DCB-67E3-4C36-9EE6-288FC4C6A927}"/>
    <hyperlink ref="A8" r:id="rId23" xr:uid="{63C4B478-0D74-4427-8547-3C740761B3CB}"/>
    <hyperlink ref="A42:A46" r:id="rId24" display="Prolife" xr:uid="{423F9A15-B475-416F-A6AD-80E355F1CF02}"/>
    <hyperlink ref="A88" r:id="rId25" xr:uid="{6116AB90-90F9-4FA7-86A3-9F0B1DCCF72B}"/>
    <hyperlink ref="A48:A50" r:id="rId26" display="Stad Holland" xr:uid="{4425BD54-74E0-45AD-900E-216AEB1E5025}"/>
    <hyperlink ref="A75" r:id="rId27" xr:uid="{F1C529E9-BBB2-4772-83C8-CFF298E17A8A}"/>
    <hyperlink ref="A77" r:id="rId28" xr:uid="{0AACA9E5-D6E1-4AD5-974A-5E429A8397BF}"/>
    <hyperlink ref="A4" r:id="rId29" xr:uid="{F6E83E34-DAE6-44CA-B4C8-377FFC1516DF}"/>
    <hyperlink ref="A54:A58" r:id="rId30" display="United Consumers" xr:uid="{C24B8112-1FF5-437B-809A-B46A44C559FC}"/>
    <hyperlink ref="A7" r:id="rId31" xr:uid="{0E17F8A0-8C09-4199-B6A3-EC7992565AF3}"/>
    <hyperlink ref="A6" r:id="rId32" xr:uid="{30865CCF-3E14-4976-9B75-9FDDB3BB47C9}"/>
    <hyperlink ref="A19" r:id="rId33" xr:uid="{561B6208-6F17-4B72-8423-C8866E422402}"/>
    <hyperlink ref="A20" r:id="rId34" xr:uid="{F65D6581-E0B3-45D6-A0B8-82441B2EC09E}"/>
    <hyperlink ref="A37" r:id="rId35" xr:uid="{0B2C0D15-98CD-4EA5-ACBD-4E4ED2597B59}"/>
    <hyperlink ref="A38" r:id="rId36" xr:uid="{6FE3CC87-5734-421C-95E9-93BF200F859D}"/>
    <hyperlink ref="A11" r:id="rId37" xr:uid="{5EBE6D65-D75D-42A9-A552-A5C43A2B3219}"/>
    <hyperlink ref="A66:A70" r:id="rId38" display="VGZ" xr:uid="{7E8DAB9F-04A3-408C-832A-A6502E80E505}"/>
    <hyperlink ref="A50" r:id="rId39" xr:uid="{104FFB78-C087-41F9-89B9-56E1BE6007AD}"/>
    <hyperlink ref="A23" r:id="rId40" xr:uid="{60E6AFF6-704D-4F27-91CF-457A6A2036F7}"/>
    <hyperlink ref="A44" r:id="rId41" xr:uid="{104CB6B0-BEE3-4003-BC2E-C1B941C64A0A}"/>
    <hyperlink ref="A76" r:id="rId42" xr:uid="{3892DB11-79E5-447E-AE94-F7B18BFDDBC2}"/>
    <hyperlink ref="A3" r:id="rId43" xr:uid="{B44BC409-E0BF-4478-871F-AFBCE3BE4C90}"/>
    <hyperlink ref="A13" r:id="rId44" xr:uid="{4B66277C-62C0-41B6-9856-B930EFD997CA}"/>
    <hyperlink ref="A18" r:id="rId45" xr:uid="{BF927F6A-4583-4F77-A7F6-2C7E337D7226}"/>
    <hyperlink ref="A78:A85" r:id="rId46" display="Zilveren Kruis" xr:uid="{CD884338-A9FF-4836-B48F-BDA1DE723B2C}"/>
    <hyperlink ref="A82" r:id="rId47" xr:uid="{76689381-3586-4A82-A563-71949B82DCD7}"/>
    <hyperlink ref="A87:A91" r:id="rId48" display="Zorg &amp; Zekerheid" xr:uid="{389C1E28-442E-4991-AB90-3B89E419F85F}"/>
  </hyperlinks>
  <pageMargins left="0.7" right="0.7" top="0.75" bottom="0.75" header="0.3" footer="0.3"/>
  <pageSetup paperSize="9" orientation="portrait" r:id="rId49"/>
  <drawing r:id="rId50"/>
  <legacyDrawing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Uitleg</vt:lpstr>
      <vt:lpstr>Jouw wensen</vt:lpstr>
      <vt:lpstr>Vergoedingenoverzicht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Iris Newman</dc:creator>
  <cp:lastModifiedBy>Iris Newman</cp:lastModifiedBy>
  <dcterms:created xsi:type="dcterms:W3CDTF">2021-12-17T08:34:51Z</dcterms:created>
  <dcterms:modified xsi:type="dcterms:W3CDTF">2021-12-21T05:52:02Z</dcterms:modified>
</cp:coreProperties>
</file>